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ables/table5.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Matriz de Riesgos Corrupción" sheetId="1" r:id="rId1"/>
    <sheet name="Impacto Riesgo de Corrupción" sheetId="2" state="hidden" r:id="rId2"/>
    <sheet name="datos"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fn.IFERROR" hidden="1">#NAME?</definedName>
    <definedName name="calculo_imp">'datos'!$S$1:$W$2</definedName>
    <definedName name="calculo_prob">'datos'!$Q$3:$R$7</definedName>
  </definedNames>
  <calcPr fullCalcOnLoad="1" refMode="R1C1"/>
</workbook>
</file>

<file path=xl/comments1.xml><?xml version="1.0" encoding="utf-8"?>
<comments xmlns="http://schemas.openxmlformats.org/spreadsheetml/2006/main">
  <authors>
    <author>Palacios Mu?oz, Lewis Jhossimar</author>
    <author>Lara Quintero, Veronica</author>
    <author>Rivera Saenz, Maria Del Pilar</author>
  </authors>
  <commentList>
    <comment ref="Y6" authorId="0">
      <text>
        <r>
          <rPr>
            <sz val="9"/>
            <rFont val="Tahoma"/>
            <family val="2"/>
          </rPr>
          <t>En caso de no poder ejecutar el propósito y/o método del control</t>
        </r>
      </text>
    </comment>
    <comment ref="AA6" authorId="0">
      <text>
        <r>
          <rPr>
            <sz val="9"/>
            <rFont val="Tahoma"/>
            <family val="2"/>
          </rPr>
          <t>Relacionar el nombre de la documentación que soporta la ejecución del control. (procedimiento, manual, documento externo.)</t>
        </r>
      </text>
    </comment>
    <comment ref="M5" authorId="0">
      <text>
        <r>
          <rPr>
            <sz val="9"/>
            <rFont val="Tahoma"/>
            <family val="2"/>
          </rPr>
          <t>Indicar el número de veces de ejecución de la actividad en el año.</t>
        </r>
      </text>
    </comment>
    <comment ref="AM5" authorId="0">
      <text>
        <r>
          <rPr>
            <sz val="9"/>
            <rFont val="Tahoma"/>
            <family val="2"/>
          </rPr>
          <t>Al seleccionar el tratamiento de reducir (mitigar) se debe establecer un plan de acción, Dicha acción corresponde a actividades complementarias para los controles mitigando el riesgo residual.</t>
        </r>
      </text>
    </comment>
    <comment ref="AR4" authorId="0">
      <text>
        <r>
          <rPr>
            <sz val="9"/>
            <rFont val="Tahoma"/>
            <family val="2"/>
          </rPr>
          <t>Indique la cantidad de veces en que se materializo el riesgo, frente al ultimo periodo de autoevaluación.</t>
        </r>
      </text>
    </comment>
    <comment ref="J35" authorId="1">
      <text>
        <r>
          <rPr>
            <b/>
            <sz val="9"/>
            <rFont val="Tahoma"/>
            <family val="2"/>
          </rPr>
          <t>Lara Quintero, Veronica:</t>
        </r>
        <r>
          <rPr>
            <sz val="9"/>
            <rFont val="Tahoma"/>
            <family val="2"/>
          </rPr>
          <t xml:space="preserve">
Verificar redacción como en proceso</t>
        </r>
      </text>
    </comment>
    <comment ref="T56" authorId="2">
      <text>
        <r>
          <rPr>
            <sz val="9"/>
            <rFont val="Tahoma"/>
            <family val="2"/>
          </rPr>
          <t xml:space="preserve">Frecuencia: 48. De Junio 2020 a Junio 2021
</t>
        </r>
        <r>
          <rPr>
            <sz val="9"/>
            <rFont val="Tahoma"/>
            <family val="0"/>
          </rPr>
          <t xml:space="preserve">
</t>
        </r>
      </text>
    </comment>
  </commentList>
</comments>
</file>

<file path=xl/sharedStrings.xml><?xml version="1.0" encoding="utf-8"?>
<sst xmlns="http://schemas.openxmlformats.org/spreadsheetml/2006/main" count="2441" uniqueCount="917">
  <si>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</si>
  <si>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</si>
  <si>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</si>
  <si>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</si>
  <si>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</si>
  <si>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</si>
  <si>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</si>
  <si>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</si>
  <si>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</si>
  <si>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</si>
  <si>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</si>
  <si>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</si>
  <si>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</si>
  <si>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</si>
  <si>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</si>
  <si>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</si>
  <si>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</si>
  <si>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</si>
  <si>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</si>
  <si>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</si>
  <si>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</si>
  <si>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</si>
  <si>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</si>
  <si>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</si>
  <si>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</si>
  <si>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</si>
  <si>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</si>
  <si>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</si>
  <si>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</si>
  <si>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</si>
  <si>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</si>
  <si>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</si>
  <si>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</si>
  <si>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</si>
  <si>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</si>
  <si>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</si>
  <si>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</si>
  <si>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</si>
  <si>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</si>
  <si>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</si>
  <si>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</si>
  <si>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</si>
  <si>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</si>
  <si>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</si>
  <si>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</si>
  <si>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</si>
  <si>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</si>
  <si>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</si>
  <si>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</si>
  <si>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</si>
  <si>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</si>
  <si>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</si>
  <si>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</si>
  <si>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</si>
  <si>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</si>
  <si>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</si>
  <si>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</si>
  <si>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</si>
  <si>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</si>
  <si>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</si>
  <si>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</si>
  <si>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</si>
  <si>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</si>
  <si>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</si>
  <si>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</si>
  <si>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</si>
  <si>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</si>
  <si>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</si>
  <si>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</si>
  <si>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</si>
  <si>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</si>
  <si>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</si>
  <si>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</si>
  <si>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</si>
  <si>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</si>
  <si>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</si>
  <si>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</si>
  <si>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</si>
  <si>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</si>
  <si>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</si>
  <si>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</si>
  <si>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</si>
  <si>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</si>
  <si>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</si>
  <si>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</si>
  <si>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</si>
  <si>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</si>
  <si>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</si>
  <si>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</si>
  <si>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</si>
  <si>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</si>
  <si>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</si>
  <si>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</si>
  <si>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</si>
  <si>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</si>
  <si>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</si>
  <si>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</si>
  <si>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</si>
  <si>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</si>
  <si>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</si>
  <si>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</si>
  <si>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</si>
  <si>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</si>
  <si>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</si>
  <si>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</si>
  <si>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</si>
  <si>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</si>
  <si>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</si>
  <si>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</si>
  <si>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</si>
  <si>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</si>
  <si>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</si>
  <si>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</si>
  <si>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</si>
  <si>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</si>
  <si>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</si>
  <si>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</si>
  <si>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</si>
  <si>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</si>
  <si>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</si>
  <si>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</si>
  <si>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</si>
  <si>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</si>
  <si>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</si>
  <si>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Dirigir, en el Distrito Capital, el aseguramiento en salud, con énfasis en la garantía del acceso a los servicios de salud definidos en el plan de beneficios, así como realizar las labores de Inspección, Vigilancia y Seguimiento a las EAPB que operan en Bogotá D.C, todo lo anterior dentro del marco de las disposiciones del Sistema General de Seguridad Social en Salud.</t>
  </si>
  <si>
    <t xml:space="preserve"> 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</si>
  <si>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Ejercer la función disciplinaria en primera instancia en la SDS, mediante el seguimiento y gestión eficiente de los procesos disciplinarios hacia los servidores públicos de acuerdo a los principios rectores de la ley disciplinaria, para garantizar la protección de los derechos de los asociados en el ejercicio de la función pública.</t>
  </si>
  <si>
    <t>Evaluar en la Secretaria Distrital de Salud, las prácticas, componentes, mecanismos de prevención, evaluación y mejoramiento continuo del control, promoviendo las acciones eficaces en las líneas de defensa, el fortalecimiento del Sistema de Control Interno y la transparencia de la función administrativa institucional.</t>
  </si>
  <si>
    <t xml:space="preserve"> Apoyar la adquisición de los bienes, obras o servicios requeridos para el desarrollo de la misionalidad de la Entidad durante cada vigencia, atendiendo las necesidades descritas en el Plan Anual de Adquisiciones, por medio del desarrollo de los procesos contractuales, de acuerdo con la normativa vigente.</t>
  </si>
  <si>
    <t xml:space="preserve"> Realizar la gestión para la administración de los bienes de propiedad planta y equipo de la entidad y la efectiva prestación de los servicios administrativos en todos los procesos y sedes en custodia, mediante la prestación de los servicios de almacén, aseo, cafetería, vigilancia, transporte, mantenimiento de bienes muebles e inmuebles, fotocopiado, correspondencia, con el fin de satisfacer las necesidades y el adecuado funcionamiento de la entidad durante la vigencia.</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</si>
  <si>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</si>
  <si>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PETIC, con el fin de contribuir a la eficacia y eficiencia de los procesos de la entidad que soportan la continuidad del negocio en materia de tecnologías de la información y comunicaciones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</si>
  <si>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</si>
  <si>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</si>
  <si>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</si>
  <si>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</si>
  <si>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Gestionar durante cada vigencia los ingresos y gastos del Fondo Financiero Distrital de Salud y la Secretaría Distrital de Salud, a través de su oportuna programación, registro, seguimiento y control, así como su preparación, presentación y publicación.</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</si>
  <si>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</si>
  <si>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</si>
  <si>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el mantenimiento del Sistema de Gestión en el marco MIPG y el Desarrollo Institucional en los procesos de la SDS a través del monitoreo y asistencia técnica para cumplir con el direccionamiento estratégico durante la vigencia.</t>
  </si>
  <si>
    <t>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</si>
  <si>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</si>
  <si>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Establecer y dar lineamiento a las Empresas Administradoras de Planes de Beneficios e IPS de Bogotá D.C.; mediante la definición de criterios técnicos y operativos de la prestación de servicios de salud, de las Redes de Prestadores, de la Red de Bancos de Sangre y de la Red de Donación de Órganos y Tejidos (Regional No. 1) para la mejora de la calidad de los mismos.</t>
  </si>
  <si>
    <t>A. Referencia</t>
  </si>
  <si>
    <t>D. Objetivo Proceso</t>
  </si>
  <si>
    <t>F. Causa Inmediata</t>
  </si>
  <si>
    <t>G. Causa Raíz</t>
  </si>
  <si>
    <t>A. No. Control</t>
  </si>
  <si>
    <t>A. Probabilidad Residual Final</t>
  </si>
  <si>
    <t>B. Valor Probabilidad Residual Final</t>
  </si>
  <si>
    <t>C. Impacto Residual Final</t>
  </si>
  <si>
    <t>D. Valor Probabilidad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</si>
  <si>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</si>
  <si>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</si>
  <si>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</si>
  <si>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</si>
  <si>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</si>
  <si>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</si>
  <si>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</si>
  <si>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</si>
  <si>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</si>
  <si>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</si>
  <si>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</si>
  <si>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</si>
  <si>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</si>
  <si>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</si>
  <si>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</si>
  <si>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</si>
  <si>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</si>
  <si>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</si>
  <si>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</si>
  <si>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</si>
  <si>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</si>
  <si>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</si>
  <si>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</si>
  <si>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</si>
  <si>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</si>
  <si>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</si>
  <si>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</si>
  <si>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</si>
  <si>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</si>
  <si>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</si>
  <si>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</si>
  <si>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</si>
  <si>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</si>
  <si>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</si>
  <si>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</si>
  <si>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</si>
  <si>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</si>
  <si>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</si>
  <si>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</si>
  <si>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</si>
  <si>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</si>
  <si>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</si>
  <si>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</si>
  <si>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</si>
  <si>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</si>
  <si>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</si>
  <si>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</si>
  <si>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</si>
  <si>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</si>
  <si>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</si>
  <si>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</si>
  <si>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</si>
  <si>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</si>
  <si>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</si>
  <si>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</si>
  <si>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</si>
  <si>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</si>
  <si>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</si>
  <si>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</si>
  <si>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</si>
  <si>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</si>
  <si>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C. Fecha Seguimiento</t>
  </si>
  <si>
    <t>D. Seguimiento</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</si>
  <si>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</si>
  <si>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</si>
  <si>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</si>
  <si>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</si>
  <si>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</si>
  <si>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</si>
  <si>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</si>
  <si>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</si>
  <si>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</si>
  <si>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</si>
  <si>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E. Acción de Contingencia ante Posible Materialización del Riesgo</t>
  </si>
  <si>
    <t>Elaborado por: Lewis Jhossimar Palacios Muñoz
Revisado por: Alvaro Augusto Amado Camacho
Aprobado por: Juan Carlos Jaramillo Correa</t>
  </si>
  <si>
    <t>DIRECCIÓN DE PLANEACIÓN INSTITUCIONAL Y CALIDAD
SISTEMA INTEGRADO DE GESTIÓN
CONTROL DOCUMENTAL
MAPA DE RIESGOS SDS
Código: SDS-PYC-FT-029 V.3</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</si>
  <si>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</si>
  <si>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</si>
  <si>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</si>
  <si>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</si>
  <si>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</si>
  <si>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</si>
  <si>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</si>
  <si>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</si>
  <si>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</si>
  <si>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</si>
  <si>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</si>
  <si>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</si>
  <si>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</si>
  <si>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</si>
  <si>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</si>
  <si>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</si>
  <si>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</si>
  <si>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</si>
  <si>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</si>
  <si>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</si>
  <si>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</si>
  <si>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Indicador (Nº de veces que se materializo el riesgo)</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</si>
  <si>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</si>
  <si>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</si>
  <si>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</si>
  <si>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</si>
  <si>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</si>
  <si>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</si>
  <si>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</si>
  <si>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</si>
  <si>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</si>
  <si>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</si>
  <si>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</si>
  <si>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</si>
  <si>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</si>
  <si>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</si>
  <si>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</si>
  <si>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</si>
  <si>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</si>
  <si>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</si>
  <si>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</si>
  <si>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</si>
  <si>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Permisos de acceso a los aplicativos y  Bases de Datos de aseguramiento  por parte de funcionarios o contratistas que ya no se encuentren vinculados a la Dirección de Aseguramiento o ya no tengan responsabilidad sobre las bases de datos.</t>
  </si>
  <si>
    <t>TICS</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</si>
  <si>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</si>
  <si>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Acceso a la Información</t>
  </si>
  <si>
    <t>El Subdirector de Administración del Aseguramiento y/o Supervisor del contrato</t>
  </si>
  <si>
    <t>al retiro del funcionario o finalización del contrato,</t>
  </si>
  <si>
    <t>notificará  a la Dirección TICS o quien haga sus veces, el retiro del acceso a la red de la SDS</t>
  </si>
  <si>
    <t xml:space="preserve">por medio del formato establecido para entrega del cargo. </t>
  </si>
  <si>
    <t>No se acepta la entrega del cargo ni el informe final para el último pago en caso de no presentar la certificación de TICS. Formato firmado por el responsable en TICS.
Inabilitación de la cuenta</t>
  </si>
  <si>
    <t xml:space="preserve">"Correo de solicitud de activación de la cuenta, teniendo en cuenta que la Dirección TIC cancela automáticamente las cuentas de red al cumplirse la fecha de terminación del contrato" </t>
  </si>
  <si>
    <t xml:space="preserve">Procedimiento </t>
  </si>
  <si>
    <t xml:space="preserve">Humanos , tecnologicos financieros </t>
  </si>
  <si>
    <t xml:space="preserve">No aplica </t>
  </si>
  <si>
    <t xml:space="preserve">No prestación del servicio de salud facturado o prestación de servicios incompletos o no autorizados
Falta de conocimiento de lineamientos  normativos para auditoria de cuentas médicas. 
Las EPS, IPS y/o proveedores  realicen doble presentación de facturas y/o recobros, e información falsa de prestación de servicios de salud de la población a cargo del FFDS. </t>
  </si>
  <si>
    <t xml:space="preserve">Las EPS, IPS y/o proveedores  realicen doble presentación de facturas y/o recobros, e información falsa de prestación de servicios de salud de la población a cargo del FFDS. </t>
  </si>
  <si>
    <t xml:space="preserve">Dirección Financiera </t>
  </si>
  <si>
    <t>Posible afectación reputacional por el reconocimiento   y/o autorizarización   de pagos indebidos a las EPS, IPS y/o  proveedores  sin relación contractual con la SDS-FFDS.</t>
  </si>
  <si>
    <t xml:space="preserve">Validación de facturas </t>
  </si>
  <si>
    <t xml:space="preserve">El Profesional (Ing.) </t>
  </si>
  <si>
    <t xml:space="preserve">periódicamente a la recepción y radicación de cuentas medicas 
</t>
  </si>
  <si>
    <t>verifica y realiza  cruce con los sistemas de información disponibles en la Subdirección de Garantía del Aseguramiento, para evitar un posible doble cobro de las facturas y/o recobros presentadas por la IPS y EPS,</t>
  </si>
  <si>
    <t>cruce con las bases de datos  disponibles en la Subdirección de Garantía del Aseguramiento, para evitar un posible doble cobro de las facturas y/o recobros presentadas por la IPS y EPS,</t>
  </si>
  <si>
    <t xml:space="preserve"> si se encuentra una doble facturación se verifica con los analistas de cuentas y se genera una certificación mensual de lo evidenciado en el periodoOficio de posible doble factura.</t>
  </si>
  <si>
    <t>Certificación mensual de lo evidenciado en el periodo.</t>
  </si>
  <si>
    <t xml:space="preserve">Certificación de revisión. </t>
  </si>
  <si>
    <t xml:space="preserve">Humanos, tecnológicos y financierso </t>
  </si>
  <si>
    <t xml:space="preserve">Verificación de la prestación del servicio </t>
  </si>
  <si>
    <t>Los  Analistas</t>
  </si>
  <si>
    <t xml:space="preserve"> en casos especiales </t>
  </si>
  <si>
    <t xml:space="preserve"> verifican si los servicios facturados en la cuenta médica fueron prestados efectivamente</t>
  </si>
  <si>
    <t>, igualmente se valida el lugar de residencia habitual del paciente a través de llamadas a los usuarios,  se registra cada caso en el formato de seguimiento llamadas telefónica</t>
  </si>
  <si>
    <t>s - casos especiales (el control aplica en caso de que la auditoria se realice por un equipo interno de la SDS)</t>
  </si>
  <si>
    <t xml:space="preserve">Se registra cada caso en el formato de seguimiento llamadas telefonicas - casos especiales (el control aplica en caso de que la auditoria se realice por un equipo interno de la SDS)
</t>
  </si>
  <si>
    <t xml:space="preserve">Formatos de seguimiento </t>
  </si>
  <si>
    <t xml:space="preserve">No palica </t>
  </si>
  <si>
    <t xml:space="preserve">Cambio normativo </t>
  </si>
  <si>
    <t>El Líder del Grupo de Cuentas Médicas</t>
  </si>
  <si>
    <t xml:space="preserve">al ingreso de personal nuevo y/o periódicamente al cambio de normatividad o directrices internas,  </t>
  </si>
  <si>
    <t xml:space="preserve">socializa al grupo auditor para que realice los ajustes , 
</t>
  </si>
  <si>
    <t>mediante correo electrónico y actas de reunión,  verificando la utilización de los nuevos formatos establecidos  (el control aplica en caso de que la auditoria se realice por un equipo interno de la SDS)</t>
  </si>
  <si>
    <t>verificando la utilización de los nuevos formatos establecidos  (el control aplica en caso de que la auditoria se realice por un equipo interno de la SDS)</t>
  </si>
  <si>
    <t xml:space="preserve"> correo electronico y actas de reunión,  verificando la utilización de los nuevos formatos establecidos  (el control aplica en caso de que la auditoria se realice por un equipo interno de la SDS)
</t>
  </si>
  <si>
    <t>Actas 
Correo electrónico</t>
  </si>
  <si>
    <t xml:space="preserve">El Líder del Grupo de Cuentas Médicas
</t>
  </si>
  <si>
    <t>anualmente</t>
  </si>
  <si>
    <t>realiza rotación de asignación de IPS - Proveedores, para el proceso de auditoria,</t>
  </si>
  <si>
    <t xml:space="preserve"> 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</si>
  <si>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</si>
  <si>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Actas y correo electrónico </t>
  </si>
  <si>
    <t xml:space="preserve">Actas </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</si>
  <si>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</si>
  <si>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t>
  </si>
  <si>
    <t>Posibilidad de afectación reputacional por el no reporte  a la Super Intendencia Nacional de Salud sin el  total de  incumplimientos de las EPS  evidenciados en las visitas de IVS por parte de la Dirección de Aseguramiento y Garantía del Derecho a la Salud.</t>
  </si>
  <si>
    <t xml:space="preserve">Revisión del marco normativo </t>
  </si>
  <si>
    <t xml:space="preserve">El Subdirector de Garantía del Aseguramiento - Líder del grupo de IVS-  Grupo auditor, </t>
  </si>
  <si>
    <t xml:space="preserve">anualmente </t>
  </si>
  <si>
    <t>realizará actualización del programa de IVS o en el momento en que cambia la norma,</t>
  </si>
  <si>
    <t xml:space="preserve">con el fin de realizar las visitas bajo normatividad vigente,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</si>
  <si>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</si>
  <si>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</si>
  <si>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</si>
  <si>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</si>
  <si>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 xml:space="preserve">de acuerdo al cronograma de visitas  establecido para la vigencia , </t>
  </si>
  <si>
    <t xml:space="preserve">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</si>
  <si>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</si>
  <si>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</si>
  <si>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</si>
  <si>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</si>
  <si>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</si>
  <si>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</si>
  <si>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</si>
  <si>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</si>
  <si>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</si>
  <si>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Semestral</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</si>
  <si>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</si>
  <si>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</si>
  <si>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</si>
  <si>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</si>
  <si>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</si>
  <si>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</si>
  <si>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Trámite inadecuado de las indagaciones e investigaciones disciplinarias en beneficio propio o de un tercero.
</t>
  </si>
  <si>
    <t>No efectuar el tramite de impulso procesal señalado en el Código Disciplinario Único.</t>
  </si>
  <si>
    <t>Posibilidad de afectación reputacional por trámite inadecuado de las indagaciones e investigaciones disciplinarias en beneficio propio o de un tercero debido a  no efectuar el tramite de impulso procesal señalado en el Código Disciplinario Único.</t>
  </si>
  <si>
    <t>Revision de actuaciones procesales</t>
  </si>
  <si>
    <t>El jefe de la Oficina de Asuntos Disciplinarios</t>
  </si>
  <si>
    <t>Siempre  que los profesionales de esta dependencia, le remiten para su aprobación los proyectos de las providencias que se profieran en materia disciplinaria.</t>
  </si>
  <si>
    <t>Validara que dichos proyectos estén conforme a la ley disciplinaria</t>
  </si>
  <si>
    <t xml:space="preserve">Aprobando el respectivo documento mediante su firma </t>
  </si>
  <si>
    <t>En caso de tener correcciones de fondo le será devuelto al profesional correspondiente</t>
  </si>
  <si>
    <t>Carpeta compartida O:/ despacho/ asuntos disciplinarios EVIDENCIAS MAPA DE RIESGOS OAD 2021</t>
  </si>
  <si>
    <t>Aprobaciones del Jefe en cada expediente y o correo electronico</t>
  </si>
  <si>
    <t>El Jefe Oficina(RECURSO HUMANO, FÍSICOS y expediente físico</t>
  </si>
  <si>
    <r>
      <t xml:space="preserve">El jefe de la Oficina  de asuntos disciplinarios realizara mesa de trabajo con los profesionales, para retroalimentar las observaciones de acuerdo a su criterio y se  levantara  un </t>
    </r>
    <r>
      <rPr>
        <strike/>
        <sz val="9"/>
        <color indexed="8"/>
        <rFont val="Arial"/>
        <family val="2"/>
      </rPr>
      <t xml:space="preserve">  </t>
    </r>
    <r>
      <rPr>
        <sz val="9"/>
        <color indexed="8"/>
        <rFont val="Arial"/>
        <family val="2"/>
      </rPr>
      <t xml:space="preserve">acta </t>
    </r>
  </si>
  <si>
    <t>Se iniciara las actuaciones disciplinarias correspondientes.</t>
  </si>
  <si>
    <t xml:space="preserve">Extravió o perdida parcial o total intencional de expedientes disciplinarios y/o demás información en beneficio propio o de un tercero. </t>
  </si>
  <si>
    <t>Fallas en el  control del manejo de expedientes de procesos disciplinarios</t>
  </si>
  <si>
    <t>Posibilidad de afectación reputacional por extravió o perdida parcial o total intencional de expedientes disciplinarios y/o demás información en beneficio propio o de un tercero debido a  fallas en el  control del manejo de expedientes de procesos disciplinarios</t>
  </si>
  <si>
    <t xml:space="preserve">Prestamo de expedientes </t>
  </si>
  <si>
    <t>Secretaria de la Oficina de Asuntos Disciplinarios</t>
  </si>
  <si>
    <t>Siempre que los profesionales sustanciadores o los sujetos procesales solicitan un expediente.</t>
  </si>
  <si>
    <t>Controlara la entrada y salida de los expedientes</t>
  </si>
  <si>
    <t>Mediante un registro de estos movimientos en ul libro de prestamo de expedientes</t>
  </si>
  <si>
    <t>En caso de perdida o extravió de algún expediente se debe presentar denuncia por perdida ante la fiscalía y dictar auto por medio del cual se ordene la reconstrucción del expediente perdido o extraviado dando aplicación a la ley disciplinaria</t>
  </si>
  <si>
    <t>Se lleva el registro en un libro de los expedientes prestados.</t>
  </si>
  <si>
    <t>Secretaria Técnica (RECURSO HUMANO, FISICOS) libro préstamo expedientes</t>
  </si>
  <si>
    <t>Realizar un inventario anual de  los expedientes activos , comparando lo fisico con lo digital, escaneando informacion que no se encuentre digitalizada, evidenciando la actividad  por medio de  acta .</t>
  </si>
  <si>
    <t>Inventario de expedientess mensual</t>
  </si>
  <si>
    <t>Mensualmente, realizará control de arqueo de expedientes</t>
  </si>
  <si>
    <t xml:space="preserve">Realizará control de arqueo de expedientes, para evitar perdida </t>
  </si>
  <si>
    <t>Comparando los archivos en físico con la hoja de trabajo en Excel</t>
  </si>
  <si>
    <t xml:space="preserve"> En caso de perdida o extravió de algún expediente se debe presentar denuncia por perdida ante la fiscalía y dictar auto por medio del cual se ordene la reconstrucción del expediente perdido o extraviado dando aplicación a la ley disciplinaria.</t>
  </si>
  <si>
    <t>Se llevará una hoja de trabajo en Excel denominada  (Registro Mensual Control Expedientes OAD).</t>
  </si>
  <si>
    <t>Secretaria Técnica (RECURSO HUMANO, FÍSICOS, TECNOLOGICOS) hoja Excel Registro mensual control Expedientes</t>
  </si>
  <si>
    <t>Archivo digital de expedientes</t>
  </si>
  <si>
    <t>Siempre   que se aperture un expedientes.</t>
  </si>
  <si>
    <t>Realizara una copia de seguridad.</t>
  </si>
  <si>
    <t>Mediante la digitalización en formato PDF del contenido del expediente.</t>
  </si>
  <si>
    <t xml:space="preserve">carpeta digital denominada ( EXPEDIENTES 2021) .La cual se encuentra ubicada  en el equipo de la Secretaria Técnica de la OAD, en la siguiente ruta :  Bodega (D);EXPEDIENTES 2021. </t>
  </si>
  <si>
    <t>Secretaria Técnica (RECURSO HUMANO, FÍSICOS, TECNOLÓGICOS) y carpeta digital</t>
  </si>
  <si>
    <t xml:space="preserve">Desvío de información por la falta de centralización de todas las acciones de comunicación en el proceso u oficina que lidera el tema en la entidad. </t>
  </si>
  <si>
    <t xml:space="preserve">Cambiar intencionalmente  la información recibida y enviada por las fuentes. </t>
  </si>
  <si>
    <t>Favorecer intereses particulares, políticos y/o de terceras personas, divulgando información a los medios de comunicación u otros públicos, o a través de los canales institucionales de comunicación, sin cumplir con los procedimientos establecidos por la Oficina Asesora de Comunicaciones.</t>
  </si>
  <si>
    <t xml:space="preserve">El profesional de la Oficina Asesora de Comunicaciones (OAC), cuando reciba de las dependencias la información para divulgar ante los medios masivos de comunicación y/o a través de los canales externos de comunicación, vericará la validez de dicha información revisando que haya sido enviada con el aval del jefe, director o referente delegado de la dependencia. </t>
  </si>
  <si>
    <t>El profesional de la Oficina Asesora de Comunicaciones</t>
  </si>
  <si>
    <t>Cuando reciba de las dependencias la información</t>
  </si>
  <si>
    <t>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</si>
  <si>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</si>
  <si>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provenga de fuentes oficiales o esté incompleta, el profesional solicitará ampliación de la misma a través de correo electrónico o solicitara visto buena de la jefe de la Oficina para la respectiva divulgación</t>
  </si>
  <si>
    <t>Requerimientos para la publicación de información así como las mismas publicaciones en los medios de comunicación y canales de comunicación externa oficiales</t>
  </si>
  <si>
    <t>Procedimiento Gestión de Comunicaciones
Lineamiento de comunicación externa</t>
  </si>
  <si>
    <t>Profesionales de la Oficina de Comunicaciones
WhatsApp
Correo electrónico
Página Web
Internet</t>
  </si>
  <si>
    <t xml:space="preserve">Falta de control en la entrega de material de la entidad a personas equivocadas, no aptas o no autorizadas para el manejo del mismo. </t>
  </si>
  <si>
    <t xml:space="preserve">Favorecer intereses particulares  y/o de terceras personas utilizando la imagen de la entidad a través del material POP o merchandising que produce la Oficina de Comunicaciones </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</si>
  <si>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</si>
  <si>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Cuando entregue el material POP y/o merchandising producido por la OAC</t>
  </si>
  <si>
    <t>Registrará la entrega del material en el formato</t>
  </si>
  <si>
    <t>Diligenciamiento del formato SDS-COM-FT-005 "Registro de material entregado en comunicaciones"</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</si>
  <si>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</si>
  <si>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Formato SDS-COM-FT-005 "Registro de material entregado en comunicaciones"</t>
  </si>
  <si>
    <t>Procedimiento Gestión de Comunicaciones
Lineamiento de comunicación externa
Lineamiento de comunicación interna</t>
  </si>
  <si>
    <t>Profesionales de la Oficina de Comunicaciones
Formato</t>
  </si>
  <si>
    <t>4. Fortalecer la gestión y la transparencia institucional.</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</si>
  <si>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</si>
  <si>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</si>
  <si>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</si>
  <si>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</si>
  <si>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</si>
  <si>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</si>
  <si>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</si>
  <si>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</si>
  <si>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</si>
  <si>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</si>
  <si>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</si>
  <si>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</si>
  <si>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</si>
  <si>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Socialización al equipo de la Subdirección de Contratación
Actualización de documentos internos del proceso y normatividad
Sensibilización de los supervisores o contratitas</t>
  </si>
  <si>
    <t>II Semestre de 2021</t>
  </si>
  <si>
    <t>Aperturar demanda y/o proceso por parte del supervisor del contrato</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</si>
  <si>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</si>
  <si>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</si>
  <si>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</si>
  <si>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semestralmente y aleatoriamente a los expedientes cuya contratación surja de procesos de selección.</t>
  </si>
  <si>
    <t xml:space="preserve">En caso de que no se el profesional designado como evaluador manifieste tener una inhabilidad se seguirá el procedimiento descrito en la política de </t>
  </si>
  <si>
    <t>Acta de revisión del control suscrita por la persona que realizó la revisión y el subdirector de Contratación</t>
  </si>
  <si>
    <t>SDS-CON-PR-001 Procedimiento Contratación - Etapa Precontractual</t>
  </si>
  <si>
    <t>Profesionales del área de contratación, Formato de manifestación de interés</t>
  </si>
  <si>
    <t>Revisión formato “Pacto de Integridad”</t>
  </si>
  <si>
    <t>Cada vez que se radique una contratación directa</t>
  </si>
  <si>
    <t xml:space="preserve">Revisar  que los expedientes contractuales de las contrataciones directas - personas naturales  contengan el formato “Pacto de Integridad” debidamente suscrito por los profesionales que integran el comité evaluador.  </t>
  </si>
  <si>
    <t>SDS-CON-INS-006 Prestación De Servicios Profesionales Y De Apoyo A La Gestión – Personas Naturales</t>
  </si>
  <si>
    <t>Profesionales del área de contratación, Formato de pacto de integridad</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</si>
  <si>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</si>
  <si>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</si>
  <si>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</si>
  <si>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</si>
  <si>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Revisón Certificaciones</t>
  </si>
  <si>
    <t>Subdirector de Contratación</t>
  </si>
  <si>
    <t xml:space="preserve">Cada vez que se pase para firma un proyecto de certificado de contrato </t>
  </si>
  <si>
    <t xml:space="preserve">Revisar contra expediente contractual que la información de la certificación corresponda con la de los  documentos que reposan en la carpeta </t>
  </si>
  <si>
    <t>La revisión se realizará contra expediente</t>
  </si>
  <si>
    <t>En caso de que la información no corresponda, se devolverá para ajustes sin firma.</t>
  </si>
  <si>
    <t>Certificaciones firmadas por la (el) subdirector (a) de contratación</t>
  </si>
  <si>
    <t>SDS-CON-FT-053 Formato Certificación De Contratos</t>
  </si>
  <si>
    <t>Profesionales del área de contratación</t>
  </si>
  <si>
    <t>Socialización al equipo de certificaciones de la Subdirección de Contratación</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</si>
  <si>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</si>
  <si>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</si>
  <si>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Verificación de Inventario</t>
  </si>
  <si>
    <t>Personal de archivo de gestión</t>
  </si>
  <si>
    <t>Cada vez que se archive un expediente contractual</t>
  </si>
  <si>
    <t>Mantener un adecuado inventario de expedientes contractuales que reposan en la Subdirección de contratación</t>
  </si>
  <si>
    <t>Mantener base de datos con número de folios que reposan en el expediente y registro de préstamos</t>
  </si>
  <si>
    <t>En caso de notar que se realizaron cambios en los folios de expedientes realizar trazabilidad de prestamos</t>
  </si>
  <si>
    <t xml:space="preserve">Inventario </t>
  </si>
  <si>
    <t>SDS-CON-LN-005 Lineamiento De Archivo Contractual</t>
  </si>
  <si>
    <t>Socialización al equipo del archivo de gestión de la Subdirección de Contratación</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</si>
  <si>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</si>
  <si>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</si>
  <si>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Base de datos de incumplimientos actualizada</t>
  </si>
  <si>
    <t>Profesionales designados para llevar el seguimiento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</si>
  <si>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</si>
  <si>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</si>
  <si>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</si>
  <si>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</si>
  <si>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</si>
  <si>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SDS-CON-PR-006 Procedimiento Contratación - Etapa De Ejecución Y Poscontractual</t>
  </si>
  <si>
    <t>Realizar Back up de la Base de reparto de incumplimientos</t>
  </si>
  <si>
    <t xml:space="preserve">Recibir dadivas </t>
  </si>
  <si>
    <t>Falta de integridad y Objetividad en la realización de los informes de auditoria</t>
  </si>
  <si>
    <t xml:space="preserve">NA </t>
  </si>
  <si>
    <t>Posibilidad de recibir dádivas o beneficios particulares para  emitir Informes de Auditoría ajustados a los intereses de los responsables del proceso Auditado.</t>
  </si>
  <si>
    <t>Socialización del codigo del auditor</t>
  </si>
  <si>
    <t xml:space="preserve">El jefe de la Oficina de Control Interno </t>
  </si>
  <si>
    <t>semestralmente</t>
  </si>
  <si>
    <t xml:space="preserve">Socializará, el código de ética del auditor y el estatuto de auditoría, </t>
  </si>
  <si>
    <t xml:space="preserve">mediente correo elecctrónico </t>
  </si>
  <si>
    <t>De presentarse algún presunto acto de corrupción relacionado con las auditorias se comunicará a la Oficina de Asuntos Disciplinarios para que realice lo pertinente</t>
  </si>
  <si>
    <t xml:space="preserve">Correo electronico  
Memorando </t>
  </si>
  <si>
    <t xml:space="preserve">Código del auditor  y estatuto de auditoria </t>
  </si>
  <si>
    <t xml:space="preserve">Humanos tecnológicos </t>
  </si>
  <si>
    <t>Omisión de requisitos  de ley establecidos para apertura de cuentas bancarias.</t>
  </si>
  <si>
    <t xml:space="preserve">1. Requisitos no viables para autorizar una apertura de cuenta.
</t>
  </si>
  <si>
    <t>N/A</t>
  </si>
  <si>
    <r>
      <t xml:space="preserve">Posibilidad de afectación </t>
    </r>
    <r>
      <rPr>
        <b/>
        <sz val="9"/>
        <rFont val="Arial"/>
        <family val="2"/>
      </rPr>
      <t>económica y reputacional</t>
    </r>
    <r>
      <rPr>
        <sz val="9"/>
        <rFont val="Arial"/>
        <family val="2"/>
      </rPr>
      <t xml:space="preserve"> por apertura de cuentas bancarias de la entidad sin el cumplimiento de los requisitos legales para el favorecimiento a terceros </t>
    </r>
    <r>
      <rPr>
        <b/>
        <sz val="9"/>
        <rFont val="Arial"/>
        <family val="2"/>
      </rPr>
      <t>debido a</t>
    </r>
    <r>
      <rPr>
        <sz val="9"/>
        <rFont val="Arial"/>
        <family val="2"/>
      </rPr>
      <t xml:space="preserve">  Incumplimiento a las normas Nacionales y Distritales sobre el manejo de los recursos destinados a la Salud . </t>
    </r>
  </si>
  <si>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</si>
  <si>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</si>
  <si>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</si>
  <si>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</si>
  <si>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</si>
  <si>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</si>
  <si>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</si>
  <si>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</si>
  <si>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</si>
  <si>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</si>
  <si>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2. Omitir algunas actividades establecidas  en el procedimiento  SDS FIN PR 007</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</si>
  <si>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</si>
  <si>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</si>
  <si>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</si>
  <si>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</si>
  <si>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</si>
  <si>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Trámite de órdenes de pago sin tener en cuenta los criterios establecidos, en beneficio propio o de terceros</t>
  </si>
  <si>
    <t>1. Trámitar los pagos sin la revisión y cumplimiento de requisitos legales, administrativos e institucionales.</t>
  </si>
  <si>
    <r>
      <t xml:space="preserve">Posibilidad de afectación </t>
    </r>
    <r>
      <rPr>
        <b/>
        <sz val="9"/>
        <rFont val="Arial"/>
        <family val="2"/>
      </rPr>
      <t>económica y reputacional</t>
    </r>
    <r>
      <rPr>
        <sz val="9"/>
        <rFont val="Arial"/>
        <family val="2"/>
      </rPr>
      <t xml:space="preserve"> por trámite de órdenes de pago sin tener en cuenta los criterios establecidos, en beneficio propio o de terceros debido a trámitar los pagos sin la revisión y cumplimiento de requisitos legales, administrativos e institucionales.</t>
    </r>
  </si>
  <si>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</si>
  <si>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</si>
  <si>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</si>
  <si>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</si>
  <si>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</si>
  <si>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</si>
  <si>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</si>
  <si>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</si>
  <si>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</si>
  <si>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Seguimiento periódico a rechazos presentados</t>
  </si>
  <si>
    <t xml:space="preserve">  En caso de que se genere un pago a terceros que no cumplen con los requisitos, se debe informar del hecho al  Director (a) financiero y notificar la instancia correspondiente para iniciar indagación</t>
  </si>
  <si>
    <t xml:space="preserve">
Cobros indebidos o  favorecimiento a terceros en lo referente a la disponibilidad y entrega de insumos, biológicos y medicamentos a cargo de la Subscretaria de Salud Pública.</t>
  </si>
  <si>
    <t xml:space="preserve"> 
 No aplicación de la normativa vigente.  </t>
  </si>
  <si>
    <t xml:space="preserve">Posible afectación economica y reputacional    por Cobros indebidos o  favorecimiento a terceros en lo referente a la disponibilidad y entrega de insumos, biológicos y medicamentos a cargo de la Subscretaria de Salud Pública. Debido a la no aplicación aplicación de la normatividad vigente </t>
  </si>
  <si>
    <t>BIOLOGICOS PAI, MEDICAMENTOS E INSUMOS SP</t>
  </si>
  <si>
    <t xml:space="preserve">El referente técnico asignado por los directivos de la Subsecretaria de Salud Pública </t>
  </si>
  <si>
    <t>Cada vez que realice movimientos de insumos (Preservativos de uso masculino, pruebas rapidas según disponibilidad), medicamentos (ETV, Tuberculosis, Lepra, Influenza segun disponibilidad) o biologicos del Plan  Ampliado de Inmunización - PAI.</t>
  </si>
  <si>
    <t xml:space="preserve">Verificarán la trazabilidad desde el ingreso hasta la disposicion final con los soportes correspondientes, según directrices institucionales.
</t>
  </si>
  <si>
    <t xml:space="preserve">
Revisando el registro de los movimientos  en  las herramientas establecidas,  de conformidad con los requisitos de acuerdo a la normativa vigente y autorizarán las salidas correspondientes.   </t>
  </si>
  <si>
    <t>En caso de no cumplir con los requisitos establecidos notificarán al superior segun corresponda, dejando registro de dicha actuación y realizarán el seguimiento correspondiente hasta la resolución del caso.</t>
  </si>
  <si>
    <t xml:space="preserve">Como soporte de la ejecución del control, se cuenta correos electronicos,    kardex, arqueos , formato de asitencia técnica, actas de reunión con seguimiento y monitoreo. </t>
  </si>
  <si>
    <t xml:space="preserve">SDS-GSP-PR-0014 GESTIÓN Y EVALUACIÓN DE POLÍTICAS, PLANES PROGRAMAS, ESTRATEGIAS EN SALUD PÚBLICA. (P)
SDS-GSP-PR-010 DESARROLLO DE LAS ACCIONES COLECTIVAS EN SALUD PÚBLICA. (HACER)
</t>
  </si>
  <si>
    <t>Recurso humano:Supervisores, Profesionales especializados, universitarios y técnico del equipo.
Recurso tecnologico.
Recurso Financiero.
Recurso fisico.</t>
  </si>
  <si>
    <t xml:space="preserve">Establecer los requisitos para la trazabilidad de entradas y salidas.
Revisar la trazabilidad de insumos, medicamentos y biologicos del PAI
Documentar los resultados y dar alertas según sea pertinente
 </t>
  </si>
  <si>
    <t>Se realizara seguimiento cuatrimestral para autoevaluación de riesgos de corrupción</t>
  </si>
  <si>
    <t>Notificación a directivo responsable y a la oficina de asuntos disciplinarios o quien haga sus veces y autoridades competentes según corresponda</t>
  </si>
  <si>
    <t>BIOLOGICOS VACUNA COVID – 19.</t>
  </si>
  <si>
    <t>El referente técnico asignado por los directivos de la Secretaria Distrital de Salud</t>
  </si>
  <si>
    <t xml:space="preserve">A  partir de la recepcion de los biologicos  para la vacunación contra COVID-19 </t>
  </si>
  <si>
    <t xml:space="preserve">
 Revisará el registro de la entrada y salida de biológicos para la vacunación contra el COVID-19 en el aplicativo establecido por el MSPS y la Secretaria Distrital de Salud.
</t>
  </si>
  <si>
    <r>
      <rPr>
        <strike/>
        <sz val="9"/>
        <color indexed="8"/>
        <rFont val="Arial"/>
        <family val="2"/>
      </rPr>
      <t xml:space="preserve">
</t>
    </r>
    <r>
      <rPr>
        <sz val="9"/>
        <color indexed="8"/>
        <rFont val="Arial"/>
        <family val="2"/>
      </rPr>
      <t xml:space="preserve">
Verificando la coherencia entre las cantidades ingresadas frente a las cantidades  autorizadas y entregadas, de acuerdo con los criterios,  registrando el resultado en la herramienta de  control establecida. 
</t>
    </r>
  </si>
  <si>
    <t xml:space="preserve">En caso de no encontrar coherencia de la información, informaran de manera inmediata al Subdirector de Acciones Colectivas, para el análisis correspondiente con copia a la Subsecretario de Salud Pública  para los fines pertinentes.  </t>
  </si>
  <si>
    <t xml:space="preserve">Como soporte de la ejecución del control, se cuenta con herramienta  de control y documentación relacionada.  </t>
  </si>
  <si>
    <t>Recurso humano:Subdirector de Acciones Colectivas y Profesionales especializados. 
Recurso tecnologico.
Recurso Financiero.
Recurso fisico.</t>
  </si>
  <si>
    <t xml:space="preserve">Identificar las directrices para el ingreso y entrega de los biologicos vacuna COVID 19
Revisar coherencia y autorizar las salidas.
</t>
  </si>
  <si>
    <t>Intereses particulares o de  otros grupos</t>
  </si>
  <si>
    <t>Abuso del cargo</t>
  </si>
  <si>
    <t>Aprovechamiento de los espacios institucionales para realizar gestión política para el favorecimiento propio o de un tercero.</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</si>
  <si>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</si>
  <si>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</si>
  <si>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</si>
  <si>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</si>
  <si>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</si>
  <si>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</si>
  <si>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</si>
  <si>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</si>
  <si>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Poner en conocimiento a la Oficina de asuntos disciplinarios, de los hechos que generan la posible materialización del Riesgo.</t>
  </si>
  <si>
    <t>CODIGO</t>
  </si>
  <si>
    <t>Realizará socialización continua</t>
  </si>
  <si>
    <t>Con el personal de primera línea, del código de Integridad de la SDS  conforme a la Resolución 1954/2018, como mecanismo preventivo.</t>
  </si>
  <si>
    <t>Actas de comité y TIP de calidad de socialización.</t>
  </si>
  <si>
    <t>Favorecer a un Laboratorio de la Red Distrital mediante el cambio del concepto final de la visita de verificación de Estándares de Calidad.</t>
  </si>
  <si>
    <t xml:space="preserve">Modificar  el resultado de la visita a las Redes de la Subdirección de Laboratorio de Salud Pública para la verificación de Estándares de Calidad. </t>
  </si>
  <si>
    <t>No aplica</t>
  </si>
  <si>
    <t>Posibilidad de pérdida reputacional por alterar documentos públicos para favorecimiento de un tercero a través de los procesos de verificación de Estándares de Calidad.</t>
  </si>
  <si>
    <t xml:space="preserve"> &gt; 60</t>
  </si>
  <si>
    <t xml:space="preserve"> Estándares de Calidad</t>
  </si>
  <si>
    <t>Profesional Especializado de la Subdirección de Laboratorio de Salud Pública (SLSP) - Referente de Vigilancia del Ambiente y del Consumo (VAC) y Referente de Vigilancia de Enfermedades (VE).</t>
  </si>
  <si>
    <t>Mensual</t>
  </si>
  <si>
    <t xml:space="preserve">Verificar los resultados de los estándares de calidad realizados a los laboratorios de la Red Distrital de la Subdirección de Laboratorio de Salud Publica. </t>
  </si>
  <si>
    <t>Revisar las evidencias de la verificación de los estándares de calidad y las actas de visita, validando que se encuentren acordes con los requisitos exigidos por la normatividad legal vigente.</t>
  </si>
  <si>
    <t xml:space="preserve">En caso de alguna inconsistencia se debe revisar con la Subdirectora de Laboratorio de Salud Pública y el Referente del área para tomar las medidas necesarias de acuerdo a la sitiuación presentada. </t>
  </si>
  <si>
    <t>Acta de reunión  y soporte de la ejecución del control mediante la matriz de seguimiento de las visitas de Estándares de Calidad.</t>
  </si>
  <si>
    <t>Procedimiento de Verificación de Estándares de Calidad a Redes Distritales de Laboratorio con Código 040GCP21.</t>
  </si>
  <si>
    <t>Humanos
Tecnológicos
Financieros</t>
  </si>
  <si>
    <t>Realizar verificación aleatoria de la matriz de seguimiento de las visitas de verificación de Estándares de Calidad realizadas en el período.</t>
  </si>
  <si>
    <t>Por definir de acuerdo a necesidad de la SDS.</t>
  </si>
  <si>
    <t>Generar una reunión con la Subdirectora de Laboratorio de Salud Pública, las áreas técnicas y de calidad para determinar las acciones a seguir por la materialización del riesgo.</t>
  </si>
  <si>
    <t>Favorecer a un cliente externo mediante el cambio del resultado de la muestra procesada en la Subdirección de Laboratorio de Salud Pública.</t>
  </si>
  <si>
    <t>La realización del seguimiento a la modificación de resultados emitidos por la Subdirección de Laboratorio de Salud Pública (SLSP) no fue realizada oportunamente.</t>
  </si>
  <si>
    <t>Posibilidad de pérdida reputacional  por modificar documentos públicos para favorecimiento de un tercero a través de los resultados de marchas analíticas.</t>
  </si>
  <si>
    <t>&gt;600000</t>
  </si>
  <si>
    <t>Producto no conforme - Segunda firma</t>
  </si>
  <si>
    <t>Profesional Especializado de la Subdirección de Laboratorio de Salud Pública (SLSP) - Referente de Vigilancia del Ambiente y del Consumo (VAC) y Referente de Vigilancia de Enfermedades (VE)</t>
  </si>
  <si>
    <t xml:space="preserve">Verificar el aseguramiento analitico y el resultado de los emitido por la Subdirección de  Laboratorio de Salud Publica. </t>
  </si>
  <si>
    <t>Realizar la revisión del aseguramiento analítico del ensayo frente al procedimiento establecido en la Subdirección de Laboratorio de Salud Pública.</t>
  </si>
  <si>
    <t>En caso de no encontrar coherencia en el aseguramiento analítico y el resultado del ensayo se informa al profesional que realizo el análisis para revisar el proceso de manera conjunta realizando la modiificación correspondiente y poseriormente dando el aval en la emisión del resultado con la firma del profesional que analiza y profesional que revisa. De igual manera, se establece un producto no conforme por el profesional de la segunda firma y se comunica a a los Referente del área y al equipo de calidad mediante los canales de comunicación establecidos  para tomar las medidas pertinentes.</t>
  </si>
  <si>
    <t>Producto no conforme.
Acta de reunión  y soporte  seguimiento</t>
  </si>
  <si>
    <t>Procedimiento de Aseguramiento de la calidad analítica en el Laboratorio de Salud Pública con código 040GCPO06.
Procedimiento de Producto, Servicio y Trabajo de Ensayo No Conforme con código 040GCP10.</t>
  </si>
  <si>
    <t>Realizar por parte del grupo de calidad el seguimiento del reporte de Producto no conforme de las áreas técnicas.</t>
  </si>
  <si>
    <t xml:space="preserve">Usar los bienes publicos para realización de pruebas de la Subdirección de Laboratorio de Salud Pública, a nombre propio o para  beneficios personales o de terceros. </t>
  </si>
  <si>
    <t xml:space="preserve">No realizar en los tiempos establecidos  el seguimiento al uso adecuado de insumos y reactivos frente a las necesidades, directrices e inventarios de  insumos y reactivos de la Subdireccón de Laboratorio de Salud Publica. </t>
  </si>
  <si>
    <t xml:space="preserve">Usar los bienes publicos para realización de pruebas de la Subdirección de Laboratorio de Salud Pública, a nombre propio o para  beneficios personales o de terceros no autorizados generando pérdida reputacional, por no realizar el seguimiento al uso adecuado de insumos y reactivos. </t>
  </si>
  <si>
    <t>Control de insumos y reactivos</t>
  </si>
  <si>
    <t>Profesional Especializado de la Subdirección de Laboratorio de Salud Pública (SLSP) - Referente Administrativa,  Referente de Vigilancia del Ambiente y del Consumo (VAC) y Referente de Vigilancia de Enfermedades (VE).</t>
  </si>
  <si>
    <t xml:space="preserve">Verificar el inventario de los insumos y/o reactivos de la Subdirección de Laboratorio de Salud Püblica. </t>
  </si>
  <si>
    <t xml:space="preserve">Se realizará  seguimiento  al  inventario de  reactivos , verificando en el aplicativo  SILASP   el número de muestras procesadas  frente a la cantidad  reactivos utilizados, de acuerdo a linea base de consumo, los controles de calidad según directrices establecidas en la Subdirección de Laboratorio de Salud Pública. </t>
  </si>
  <si>
    <t xml:space="preserve"> En caso de no encontrar coherencia en el resultado, se informará al profesional que realizo el análisis para revisar el proceso y notificar las incosistencias a los Referentes de area y a ls Subdirectora de Laboratorio de Salud Pública.</t>
  </si>
  <si>
    <t>Registro de Seguimiento a inventario de reactivos de la SLSP con código 040GCF147.
Acta de reunión  y soporte  seguimiento</t>
  </si>
  <si>
    <t>Procedimiento administrativo para la elaboración, ejecución y control del plan anual de adquisiciones del LSP</t>
  </si>
  <si>
    <t>Verificar el reporte de las muestras procesadas de SILASP con el consumo de reactivos de las áreas tecnicas</t>
  </si>
  <si>
    <t xml:space="preserve">Recibir apoyoso dadivas para asistencia a eventos académicos y/o de actualización profesional del personal de la Subdirección de Laboratorio de Salud Pública, a cambio de favorecimiento a casas comerciales, casas farmaceuticas, laboratorios, empresas dedicadas a la venta, alquiler o matenimiento de equipamento médico o de laboratorio. </t>
  </si>
  <si>
    <t xml:space="preserve">Seguimiento insuficiente a las fuentes de financiación y/o patrocinio de actividades de formación, representación, asistencia  a eventos científicos. </t>
  </si>
  <si>
    <t xml:space="preserve">Generación de pérdida reputacional por recibir apoyos para asistencia a eventos académicos y/o de actualización profesional o dadivas, a cambio de favorecimiento a casas comerciales, casas farmaceuticas,laboratorios,empresas dedicadas a la venta, alquiler o matenimiento de equipamento médico o de laboratorio, debido a el seguimiento insuficiente a las fuentes de financiación y/o patrocinio de actividades de formación, representación, asistencia  a eventos científicos del personal de la Subdirección de Laboratorio de Salud Pública. </t>
  </si>
  <si>
    <t>Capacitaciones</t>
  </si>
  <si>
    <t>Profesional Especializado de la Subdirección de Laboratorio de Salud Pública (SLSP) - Referente de Calidad</t>
  </si>
  <si>
    <t>Realizar seguimiento a la asignacion a los eventos  de   capacitación y/o actualización  de carácter externo Nacional o internaciona</t>
  </si>
  <si>
    <t>Verificar el seguimiento del cronograma de capacitaciones y cuando aplique el registro de la autorización de participación en capacitaciones o eventos para capacitaciones nacionales o internacionales.</t>
  </si>
  <si>
    <t xml:space="preserve">En caso de no contar con el visto bueno se debera analizar y notificar al superior a traves de correo electronico. como evidencia de la ejecuciòn del control quedara un campo de revisiòn del profesional  en el formato establecido.  </t>
  </si>
  <si>
    <t>Cronograma de capacitaciones con código 040CGF115.
Registro de autorización de participación en capacitaciones o eventos 040GCF146.
Acta de reunión  y soporte  seguimiento</t>
  </si>
  <si>
    <t>Procedimiento de inducción y competencia técnica del personal de la SLSP con código 040GCP17.</t>
  </si>
  <si>
    <t>Seleccionar de manera aleatoria en el Cronograma de capacitaciones, varios procesos de formación realizados para verificar si se requirío el diligenciamiento del registro de la Autorización de participación en capaitaciones o eventos 040GCF146.</t>
  </si>
  <si>
    <t>Realizar trámites u ofrecer servicios de IVC - SP, sin el cumplimiento de los requisitos o parámetros establecidos, recibiendo dádivas o beneficios a nombre propio o de terceros.</t>
  </si>
  <si>
    <t xml:space="preserve">Falta de seguimiento en la gestión de trámites  y actualización de información referente a tramites y servicios  de Vigilancia en Salud Pública,    en la pagina WEB y en el Sistema Único de Información de Tramites SUIT.
No publicar los requisitos necesarios para la realización de los tramites.
falta de canales de denuncia para los usuarios que utilizan los tramites. </t>
  </si>
  <si>
    <t xml:space="preserve"> Posible afectación reputacional por  realizar trámites u ofrecer servicios de IVC - SP, sin el cumplimiento de los requisitos o parámetros establecidos, recibiendo dádivas o beneficios a nombre propio o de terceros.debido a la falta de seguimiento a la gestión de tramites , publicación de requisitos  y canales de denuncia para los usuarios que requieren tramites. </t>
  </si>
  <si>
    <t>TRÁMITES QUEJAS  IVC</t>
  </si>
  <si>
    <t>Profesional o tecnico designado 
para gererar cada reporte</t>
  </si>
  <si>
    <t xml:space="preserve">Mensual </t>
  </si>
  <si>
    <t xml:space="preserve">Realizar monitoreo de las quejas recibidas por parte de los usuario de los tramites de IVC en SP: </t>
  </si>
  <si>
    <t xml:space="preserve">Revisar  reporte:                          Investigaciones de las subredes 
• SDQS
• Bogotá te escucha
• Reporte de auditoría                                          </t>
  </si>
  <si>
    <t>En caso de presentarse una queja relacionada, informará a su superior y activará los mecanismos institucionales establecidos y ante una novedad de modificación en tramites.</t>
  </si>
  <si>
    <t xml:space="preserve">Reporte via correo electronico. </t>
  </si>
  <si>
    <t xml:space="preserve">Plan operativo de gestion y desempeño. </t>
  </si>
  <si>
    <t xml:space="preserve">Humanos, Tecnologicos. </t>
  </si>
  <si>
    <t xml:space="preserve">Realizar seguimiento a el tramite que presenta afectacion por queja </t>
  </si>
  <si>
    <t xml:space="preserve">Monitoreo del tramite en proceso de majora </t>
  </si>
  <si>
    <t xml:space="preserve">Analisis Causal, Revisión de diseño de controles. </t>
  </si>
  <si>
    <t xml:space="preserve">TRÁMITES Y SERVICIOS IVC SP WEB: </t>
  </si>
  <si>
    <t xml:space="preserve">Profesional o tecnico designado </t>
  </si>
  <si>
    <t xml:space="preserve"> Realizará monitoreo de la información publicada de tramites y servicios,</t>
  </si>
  <si>
    <t>Verificando que la información publicada en el sistema de información SUIT y pagina WEB se encuentre actualizada y acorde con los requisitos del tramité</t>
  </si>
  <si>
    <t>En caso de no encontrar coherencia,  solicitara a la Dependencia competente el ajuste mediante  Correo electrónico.</t>
  </si>
  <si>
    <t xml:space="preserve">Pagina web </t>
  </si>
  <si>
    <t>Plan Anticorrupción y de Atención al Ciudadano (PAAC)</t>
  </si>
  <si>
    <t>Realizar seguiimiento a los referebtes tecnico para que puedan presentar informacion de pagina web oportunamente</t>
  </si>
  <si>
    <t xml:space="preserve">Monitoreo de pagina web </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</si>
  <si>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</si>
  <si>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Tramites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</si>
  <si>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</si>
  <si>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Tramites SUIT.</t>
  </si>
  <si>
    <t>Verificación requisitos</t>
  </si>
  <si>
    <t>El profesional del proceso responsable de actualizar la información de tramites y servicios</t>
  </si>
  <si>
    <t>verificara trimestralmente</t>
  </si>
  <si>
    <t>que la información publicada en el sistema de información SUIT y pagina WEB se encuentre actualizada</t>
  </si>
  <si>
    <t>acorde con los requisitos del tramité</t>
  </si>
  <si>
    <t>en caso de presentarse una novedad informará a la Dirección y solicitara a la direccion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</si>
  <si>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</si>
  <si>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</si>
  <si>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</si>
  <si>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En verificación</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</si>
  <si>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</si>
  <si>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</si>
  <si>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economica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habilitacion. </t>
  </si>
  <si>
    <r>
      <t>1329</t>
    </r>
    <r>
      <rPr>
        <sz val="9"/>
        <color indexed="10"/>
        <rFont val="Arial"/>
        <family val="2"/>
      </rPr>
      <t xml:space="preserve">
</t>
    </r>
  </si>
  <si>
    <t>Verificación telefonica</t>
  </si>
  <si>
    <t>El profesional del proceso responsable</t>
  </si>
  <si>
    <t xml:space="preserve">realizara de manera semestral </t>
  </si>
  <si>
    <t xml:space="preserve">la verificacion telefonica del comportamiento de la comisión durante la visita, </t>
  </si>
  <si>
    <t xml:space="preserve">tomando al azar minimo diez (10) carpetas de los prestadores visitados.  Para lo anterior diligenciará la planilla de control de llamadas consignando lo informado por el prestador, </t>
  </si>
  <si>
    <t xml:space="preserve">en caso de que este informe algun acto de corrupcion,  informará a la Direción para que se analice el caso y se tomen las medidas correspondientes, </t>
  </si>
  <si>
    <t>como evidencia del control se deja el correo electronico, la planilla de llamadas y el expediente analizado.</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</si>
  <si>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</si>
  <si>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</si>
  <si>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</si>
  <si>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</si>
  <si>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</si>
  <si>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</si>
  <si>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</si>
  <si>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r>
      <t xml:space="preserve">Hacer firmar el Formato "Declaración de no conflicto de intereses y no inhabilidad / incompatibilidad" por el abogado asignado y diligenciar la casilla de inhabilidad </t>
    </r>
    <r>
      <rPr>
        <i/>
        <sz val="9"/>
        <color indexed="8"/>
        <rFont val="Arial"/>
        <family val="2"/>
      </rPr>
      <t xml:space="preserve">"Cuenta con Formato de Inhabilidad" </t>
    </r>
    <r>
      <rPr>
        <sz val="9"/>
        <color indexed="8"/>
        <rFont val="Arial"/>
        <family val="2"/>
      </rPr>
      <t>en la base de datos correspondiente al proceso.</t>
    </r>
  </si>
  <si>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</si>
  <si>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</si>
  <si>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</si>
  <si>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</si>
  <si>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 xml:space="preserve">
DETECTA LA CAUSA 
INFORMA SUPERIOR PARA TOMAR ACCIONES</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</si>
  <si>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</si>
  <si>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</si>
  <si>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</si>
  <si>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</si>
  <si>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</si>
  <si>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</si>
  <si>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
</t>
  </si>
  <si>
    <r>
      <t>Entregar el expediente y validar la firma del abogado encargado en la casilla "</t>
    </r>
    <r>
      <rPr>
        <i/>
        <sz val="9"/>
        <color indexed="8"/>
        <rFont val="Arial"/>
        <family val="2"/>
      </rPr>
      <t>Certifico que NO me encuentro inhabilitado"</t>
    </r>
    <r>
      <rPr>
        <sz val="9"/>
        <color indexed="8"/>
        <rFont val="Arial"/>
        <family val="2"/>
      </rPr>
      <t xml:space="preserve"> y diligenciar la casilla de inhabilidad en la base de datos de segunda instancia.</t>
    </r>
  </si>
  <si>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</si>
  <si>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</si>
  <si>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</si>
  <si>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</si>
  <si>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</si>
  <si>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</si>
  <si>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</si>
  <si>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</si>
  <si>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</si>
  <si>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</si>
  <si>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</si>
  <si>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</si>
  <si>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</si>
  <si>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</si>
  <si>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</si>
  <si>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del Despacho</t>
  </si>
  <si>
    <t>Diariamente</t>
  </si>
  <si>
    <t>Revisan los expedientes contractuales para posteriormente aprobar en la plataforma del SECOP II</t>
  </si>
  <si>
    <t>mediante la verificación jurídica y Financiera, previo a la aprobación de la plataforma del SECOP II.</t>
  </si>
  <si>
    <t>En caso de que exista coacción, se debe informar al ordenador del gasto de dicha anomalía para suspender el trámite contractual.</t>
  </si>
  <si>
    <t>Plataforma SECOP II y bases de datos de Honorarios de contratos de OPS y estudios previos.</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</si>
  <si>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</si>
  <si>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</si>
  <si>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Asistir al Comité de Contratación para estar informado de los procesos contractuales de la entidad, así mismo, a los comités de seguimiento a la ejecución presupuestal que cita el Secretario.</t>
  </si>
  <si>
    <t>Se debe informar al ordenador del gasto y a las autoridades competentes para que se tomen las medidas legales pertinentes, dado que no se atendió dentro del proceso de selección los principios de planeación y la selección objetiva.</t>
  </si>
  <si>
    <t>Custodia de información confidencial</t>
  </si>
  <si>
    <t>Todos los colaboradores del Despacho</t>
  </si>
  <si>
    <t xml:space="preserve">Custodian la información confidencial y se controla. </t>
  </si>
  <si>
    <t>Por medio de la atención al cumplimiento de las funciones derivadas del cargo; ello se encuentra refrendado en el acuerdo de confidencialidad firmado por cada uno de los colaboradores</t>
  </si>
  <si>
    <t>En caso que se desvié la información confidencial se adelantaran la investigaciones pertinentes</t>
  </si>
  <si>
    <t>Acuerdo de confidencialidad</t>
  </si>
  <si>
    <t>Modificar las actividades requeridas para el logro de las metas establecidas de los Proyectos de Inversión del FFDS para beneficio a terceros.</t>
  </si>
  <si>
    <t>Debilidad de los sistemas de control y/o supervisión</t>
  </si>
  <si>
    <t>Todos</t>
  </si>
  <si>
    <t>Posibilidad de afectación reputacional y economica por modificar las actividades requeridas para el logro de las metas establecidas de los Proyectos de Inversión del FFDS para beneficio a terceros, debido a la debilidad de los sistemas de control y/o supervisión</t>
  </si>
  <si>
    <t>Seguimiento proyectos</t>
  </si>
  <si>
    <t>El referente de proyecto de la Dirección de Planeación Sectorial</t>
  </si>
  <si>
    <t>mensualmente</t>
  </si>
  <si>
    <t>solicitará al Gestor de proyecto la gestión y resultados del proyecto de inversión</t>
  </si>
  <si>
    <t>a través del correo electrónico y revisará la recepción de esta información.</t>
  </si>
  <si>
    <t>En caso que no se envíe la información solicitada, no quedará avalado por la Dirección de Planeación Sectorial, ni publicado en el repositorio y se reiterará la solicitud.</t>
  </si>
  <si>
    <t>correos mensuales del referente del proyecto y del Gestor del proyecto.</t>
  </si>
  <si>
    <t>SDS-PGS-PR-007 FORMULACIÓN, ACTUALIZACIÓN, SEGUIMIENTO, EVALUACIÓN EX ANTE Y MODIFICACIÓN DE LOS PROYECTOS DE INVERSIÓN DEL FFDS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</si>
  <si>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</si>
  <si>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Tablero de mando</t>
  </si>
  <si>
    <t>El Director de Planeación Sectorial</t>
  </si>
  <si>
    <t>trimestralmente</t>
  </si>
  <si>
    <t>validará y socializará los resultados de las metas de cada uno de los proyectos, con el propósito de evidenciar los avances de los indicadores y la gestión del proyecto</t>
  </si>
  <si>
    <t>remitiendo el tablero de mando a través del correo institucional</t>
  </si>
  <si>
    <t>En caso de no remitirse el tablero de mando, se compartirá mediante un acceso directo del archivo con el Gestor de proyecto.</t>
  </si>
  <si>
    <t>Tablero de mando enviado a traves de correo electrónico o acceso directo al archivo de consulta.</t>
  </si>
  <si>
    <t>Humano, tecnológico</t>
  </si>
  <si>
    <t>Modificaciones del PAA</t>
  </si>
  <si>
    <t>El referente de proyecto y el referente del PAA de la Dirección de Planeación Sectorial</t>
  </si>
  <si>
    <t>cada vez que se requiera</t>
  </si>
  <si>
    <t>validarán que las necesidades planteadas en los proyectos de inversión sean coherentes con la misionalidad del proyecto.</t>
  </si>
  <si>
    <t>A traves de las modificaciones solicitadas al PAA solicitadas por cada uno de los Gestores de los proyectos de inversion.</t>
  </si>
  <si>
    <t>En caso que no sea coherente, no quedará avalado por la Dirección de Planeación Sectorial, ni publicado en el repositorio y se solicitarán las respectivas correcciones.</t>
  </si>
  <si>
    <t>correos electrónicos, asistencias técnicas y/o memorandos a los Gestores y referentes técnico y financiero del proyecto.</t>
  </si>
  <si>
    <t>SDS-PGS-PR-035  FORMULACIÓN, MODIFICACIÓN, SEGUIMIENTO Y ACTUALIZACIÓN DEL PLAN ANUAL DE ADQUISICIONES</t>
  </si>
  <si>
    <t>Permitir la ejecución en los proyectos de Inversión del FFDS sin el cumplimiento de las especificaciones técnicas, financieras y/o legales para favorecer a terceros.</t>
  </si>
  <si>
    <t>Falta de adhesión a las directrices, lineamientos, protocolos y/o normatividad dispuesta.</t>
  </si>
  <si>
    <t>Posibilidad de afectación reputacional y economica por permitir la ejecución en los proyectos de Inversión del FFDS sin el cumplimiento de las especificaciones técnicas, financieras y/o legales para favorecer a terceros, debido a la falta de adhesión a las directrices, lineamientos, protocolos y/o normatividad dispuesta</t>
  </si>
  <si>
    <t>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</si>
  <si>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</si>
  <si>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</si>
  <si>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</si>
  <si>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lista de chequeo e idoneidad de la información presentada.</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</si>
  <si>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</si>
  <si>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</si>
  <si>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Revsar que se presente la documentación e información completa conforme a la lista de chequeo de los diferentes formatos definidos para la presentación de preyectos de inversión.</t>
  </si>
  <si>
    <t>Verificando el completo diligenciamiento de las lista de chequeo, la idoneidad y calidad de la información y  realizado los análisis técnicos respectivos en cada componente (infraestructura o dotación).</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</si>
  <si>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</si>
  <si>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</si>
  <si>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t>
  </si>
  <si>
    <t>Humanos y tecnológicos</t>
  </si>
  <si>
    <t>Revisión del concepto de viabilidad y solicitud de actualización del proyecto</t>
  </si>
  <si>
    <t>Cumplimiento del procedimiento</t>
  </si>
  <si>
    <t xml:space="preserve">Verificar el procedimiento </t>
  </si>
  <si>
    <t>Cada referente de proyectos verifica que la documentación este conforme al procedimiento y los requisitos generales para la formulación y presentación de proyectos de inversión del sector salud.</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</si>
  <si>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</si>
  <si>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</si>
  <si>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</si>
  <si>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</si>
  <si>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</si>
  <si>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</si>
  <si>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</si>
  <si>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</si>
  <si>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</si>
  <si>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</si>
  <si>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</si>
  <si>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</si>
  <si>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Se informará al líder del proceso para la toma de decisiones.</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</si>
  <si>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</si>
  <si>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</si>
  <si>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</si>
  <si>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</si>
  <si>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</si>
  <si>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</si>
  <si>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</si>
  <si>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</si>
  <si>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</si>
  <si>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</si>
  <si>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</si>
  <si>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</si>
  <si>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</si>
  <si>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</si>
  <si>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</si>
  <si>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</si>
  <si>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 xml:space="preserve">dejando como evidencia el acta y/o informe de la auditoria </t>
  </si>
  <si>
    <t xml:space="preserve">acta y/o informe de la auditoria </t>
  </si>
  <si>
    <t>Humanos, tecnológicos y financieros</t>
  </si>
  <si>
    <t>Se validará la información e informará  al líder del proceso para la toma de decisiones.</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</si>
  <si>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</si>
  <si>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</si>
  <si>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</si>
  <si>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</si>
  <si>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</si>
  <si>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</si>
  <si>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</si>
  <si>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</si>
  <si>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</si>
  <si>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</si>
  <si>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</si>
  <si>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Se validará la información reportada e informará  al líder del proceso para la toma de decisiones.</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</si>
  <si>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</si>
  <si>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</si>
  <si>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</si>
  <si>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</si>
  <si>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</si>
  <si>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</si>
  <si>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</si>
  <si>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</si>
  <si>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</si>
  <si>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</si>
  <si>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</si>
  <si>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Se validará la información reportada, se corregirá en el formato e informará  al líder del proceso para la toma de decisiones.</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</si>
  <si>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</si>
  <si>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</si>
  <si>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</si>
  <si>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</si>
  <si>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</si>
  <si>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</si>
  <si>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</si>
  <si>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</si>
  <si>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</si>
  <si>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</si>
  <si>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</si>
  <si>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 xml:space="preserve">Vincular en empleos o encargos a personas o funcionarios aportando  documentos falsos para para favorecimiento propio o de un tercero. 
</t>
  </si>
  <si>
    <t xml:space="preserve">Falta de verificación en los documentos aportados </t>
  </si>
  <si>
    <r>
      <t>Posibilidad de afectación económica y reputacional al vincular en empleos o encargos a personas o funcionarios aportando documentos falsos para favorecimiento propio o de un tercero , debido a la f</t>
    </r>
    <r>
      <rPr>
        <sz val="9"/>
        <rFont val="Arial"/>
        <family val="2"/>
      </rPr>
      <t xml:space="preserve">alta de verificación en los documentos aportados </t>
    </r>
  </si>
  <si>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</si>
  <si>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</si>
  <si>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</si>
  <si>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</si>
  <si>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</si>
  <si>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</si>
  <si>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</si>
  <si>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por el acceso fraudulento o no autorizado a la red de tecnología y comunicaciones para beneficios personales o de terceros,</t>
  </si>
  <si>
    <t>debido a fallas en el sistema de gestión del directorio activo.</t>
  </si>
  <si>
    <t>Todos los procesos</t>
  </si>
  <si>
    <r>
      <rPr>
        <sz val="9"/>
        <color indexed="53"/>
        <rFont val="Arial"/>
        <family val="2"/>
      </rPr>
      <t>Posibilidad de afectación reputacional</t>
    </r>
    <r>
      <rPr>
        <sz val="9"/>
        <color indexed="8"/>
        <rFont val="Arial"/>
        <family val="2"/>
      </rPr>
      <t xml:space="preserve"> </t>
    </r>
    <r>
      <rPr>
        <sz val="9"/>
        <color indexed="57"/>
        <rFont val="Arial"/>
        <family val="2"/>
      </rPr>
      <t>por el acceso fraudulento o no autorizado a la red de tecnología y comunicaciones para beneficios personales o de terceros,</t>
    </r>
    <r>
      <rPr>
        <sz val="9"/>
        <color indexed="8"/>
        <rFont val="Arial"/>
        <family val="2"/>
      </rPr>
      <t xml:space="preserve"> debido a fallas en el sistema de gestión del directorio activo.</t>
    </r>
  </si>
  <si>
    <t>El Profesional Especializado cada vez que se requiera establecer, documentar y/o revisar una política de control de acceso,  se reúne con la mesa técnica de SI, con el fin de aprobar la nueva política o los cambios de la existente, en caso de que la política no sea aprobada se debe ajustar y solicitar una nueva revisión. Evidencia: Acta de reunión de revisión y/o aprobación.</t>
  </si>
  <si>
    <t>El supervisor  del contrato</t>
  </si>
  <si>
    <t>Cada vez que se requiera.</t>
  </si>
  <si>
    <t>Documentar y/o revisar una política de control de acceso.</t>
  </si>
  <si>
    <t>Se reúne con la mesa técnica de SI, con el fin de aprobar la nueva política o los cambios de la existente.</t>
  </si>
  <si>
    <t>En caso de que la política no sea aprobada se debe ajustar y solicitar una nueva revisión.</t>
  </si>
  <si>
    <t>Acta de reunión de revisión y/o aprobación.
O:\Subsecretaria Corporativa\Dirección TIC\Seguridad de la Información\Subsistema de Seguridad de la Informacion\Comite SGSI\Mesa Técnica 2021</t>
  </si>
  <si>
    <t>Acta de mesa técnica.</t>
  </si>
  <si>
    <t>1 Profesional Especializado</t>
  </si>
  <si>
    <t>Reunión de mesa técnica.</t>
  </si>
  <si>
    <t>Mensual.</t>
  </si>
  <si>
    <t>Revisión y ajuste de politicas de acceso a los sistemas de información de la Entidad.</t>
  </si>
  <si>
    <t>El Administrador de Servidores cada vez que se requiera crea y/o deshabilita cuentas de usuarios en el sistema de directorio activo,  atendiendo la solicitud o requerimiento canalizado por mesa de ayuda, en caso de que el requerimiento no sea exitoso se debe documentar en la herramienta de gestión de requerimientos. Evidencia: Registro del caso en la herramienta.</t>
  </si>
  <si>
    <t>Diariamente.</t>
  </si>
  <si>
    <t>Crea y/o deshabilita cuentas de usuarios en el sistema de directorio activo</t>
  </si>
  <si>
    <t>Atendiendo la solicitud o requerimiento canalizado por mesa de ayuda.</t>
  </si>
  <si>
    <t>En caso de que el requerimiento no sea exitoso se debe documentar en la herramienta de gestión de requerimientos.</t>
  </si>
  <si>
    <t>Registro del caso en la herramienta.
S:\SKMS\Documentacion MDA-CC\_INFORMES\Contrato 1672315 de 2020</t>
  </si>
  <si>
    <t>Documentos del contrato.</t>
  </si>
  <si>
    <t>Reunión de seguimiento a la ejecución de actividades del contrato</t>
  </si>
  <si>
    <t>Al inicio del contrato</t>
  </si>
  <si>
    <t>El Administrador de Servidores cada vez que se requiera establece y/o revisa que los sistemas de gestión de contraseñas sean interactivos y asegura que las contraseñas sean de calidad,  verificando la política implementada en el directorio activo, en caso de que la configuración no sea la definida, este debe ajustarla. Evidencia: Log de cambios de configuración.</t>
  </si>
  <si>
    <t>Establece y/o revisa que los sistemas de gestión de contraseñas sean interactivos y asegura que las contraseñas sean de calidad.</t>
  </si>
  <si>
    <t>Verificando la política implementada en el directorio activo.</t>
  </si>
  <si>
    <t>En caso de que la configuración no sea la definida, este debe ajustarla.</t>
  </si>
  <si>
    <t>Log de cambios de configuración.
S:\SKMS\Documentacion MDA-CC\_INFORMES\Contrato 1672315 de 2020</t>
  </si>
  <si>
    <t>por la implantación de software mal intencionado para beneficios personales o de terceros</t>
  </si>
  <si>
    <t xml:space="preserve"> debido a fallas en el sistema de gestión del directorio activo.</t>
  </si>
  <si>
    <r>
      <rPr>
        <sz val="9"/>
        <color indexed="53"/>
        <rFont val="Arial"/>
        <family val="2"/>
      </rPr>
      <t>Posibilidad de afectación reputacional</t>
    </r>
    <r>
      <rPr>
        <sz val="9"/>
        <color indexed="8"/>
        <rFont val="Arial"/>
        <family val="2"/>
      </rPr>
      <t xml:space="preserve"> </t>
    </r>
    <r>
      <rPr>
        <sz val="9"/>
        <color indexed="57"/>
        <rFont val="Arial"/>
        <family val="2"/>
      </rPr>
      <t xml:space="preserve">por la implantación de software mal intencionado para beneficios personales o de terceros, </t>
    </r>
    <r>
      <rPr>
        <sz val="9"/>
        <color indexed="8"/>
        <rFont val="Arial"/>
        <family val="2"/>
      </rPr>
      <t>debido a fallas en el sistema de gestión del directorio activo.</t>
    </r>
  </si>
  <si>
    <t>El Administrador de Servidores cada 6 meses revisará las políticas de restricción para evitar la instalación de software no autorizado verificando que los equipos no permitan la instalación ni ejecución de archivos .exe,
en caso de que la política no sea la establecida en la entidad deberá realizarse los ajustes de forma inmediata y generar un reporte del caso al coordinador de la mesa de servicios. Evidencia: Configuración de la GPO en el Directorio Activo.</t>
  </si>
  <si>
    <t>Semestral.</t>
  </si>
  <si>
    <t>Revisar las políticas de restricción para evitar la instalación de software no autorizado</t>
  </si>
  <si>
    <t>Verificando que los equipos no permitan la instalación ni ejecución de archivos .exe</t>
  </si>
  <si>
    <t>En caso de que la política no sea la establecida en la entidad deberá realizarse los ajustes de forma inmediata y generar un reporte del caso al coordinador de la mesa de servicios.</t>
  </si>
  <si>
    <t>Configuración de la GPO en el Directorio Activo.
S:\SKMS\Documentacion MDA-CC\_INFORMES\Contrato 1672315 de 2020</t>
  </si>
  <si>
    <t>Revisión y ajuste de la politica de restricción para la instalación de software.
Realizar la desinstalación del software mal intensionado.</t>
  </si>
  <si>
    <t>El administrador de servidores cada vez que reciba una solicitud especial de permiso de administrador local para un equipo,   deberá verificar que la solicitud cumpla con lo estipulado en el procedimiento de Gestión de Incidentes y Requerimientos y el formato de autorización  se encuentre debidamente firmado por el Directivo del área del funcionario solicitante en caso de no cumplir con lo requerido se devolverá la solicitud con las observaciones pertinentes. Evidencia: Casos registrados en el software Aranda.</t>
  </si>
  <si>
    <t>Realizar la configuración de permisos de administrador local para un equipo.</t>
  </si>
  <si>
    <t>Verificando que la solicitud cumpla con lo estipulado en el procedimiento de Gestión de Incidentes y Requerimientos y el formato de autorización  se encuentre debidamente firmado por el Directivo del área</t>
  </si>
  <si>
    <t>En caso de no cumplir con lo requerido se devolverá la solicitud con las observaciones pertinentes.</t>
  </si>
  <si>
    <t>Casos registrados en el software Aranda.
S:\SKMS\Documentacion MDA-CC\_INFORMES\Contrato 1672315 de 2020</t>
  </si>
  <si>
    <t>por la pérdida de la confidencialidad de la información institucional para favorecimiento propio o de un tercero</t>
  </si>
  <si>
    <r>
      <rPr>
        <sz val="9"/>
        <color indexed="53"/>
        <rFont val="Arial"/>
        <family val="2"/>
      </rPr>
      <t>Posibilidad de afectación reputacional</t>
    </r>
    <r>
      <rPr>
        <sz val="9"/>
        <color indexed="8"/>
        <rFont val="Arial"/>
        <family val="2"/>
      </rPr>
      <t xml:space="preserve"> </t>
    </r>
    <r>
      <rPr>
        <sz val="9"/>
        <color indexed="57"/>
        <rFont val="Arial"/>
        <family val="2"/>
      </rPr>
      <t>por la pérdida de la confidencialidad de la información institucional para favorecimiento propio o de un tercero</t>
    </r>
    <r>
      <rPr>
        <sz val="9"/>
        <color indexed="8"/>
        <rFont val="Arial"/>
        <family val="2"/>
      </rPr>
      <t>, debido a fallas en el sistema de gestión del directorio activo.</t>
    </r>
  </si>
  <si>
    <t>Todos los colaboradores de la Entidad, cada vez, que realicen transferencia de información  a un ente externo o particular, deberán verificar que sea  diligenciado el  acuerdo de confidencialidad a través del formato SDS-TIC-FT-014, en caso de no diligenciar el formato, la información no podrá ser entregada. Evidencia: Formato SDS-TIC-FT-014.</t>
  </si>
  <si>
    <t>Realizar la transferencia de información  a un ente externo o particular.</t>
  </si>
  <si>
    <t>Verificando que sea  diligenciado el  acuerdo de confidencialidad a través del formato SDS-TIC-FT-014</t>
  </si>
  <si>
    <t>En caso de no diligenciar el formato, la información no podrá ser entregada.</t>
  </si>
  <si>
    <t>Formato SDS-TIC-FT-014.</t>
  </si>
  <si>
    <t>Formato diligenciado.</t>
  </si>
  <si>
    <t>Funcionario de la SDS.</t>
  </si>
  <si>
    <t>Revisión y ajuste de las politicas de confidencialidad de la información.
Verificación de la configuración de los equipos de seguridad perimetral.</t>
  </si>
  <si>
    <t>El Profesional Especializado cada vez que se requiera establecer, documentar y/o revisar una política de control de acceso,  se reúne con la mesa técnica de SI, con el fin de aprobar la nueva política o los cambios de la existentes, en caso de que la política no sea aprobada se debe ajustar y solicitar una nueva revisión. Evidencia: Acta de reunión de revisión y/o aprobación.</t>
  </si>
  <si>
    <t>El Administrador del servicio de redes y seguridad, diariamente verifica el estado de los equipos de seguridad perimetral,  monitoreando el funcionamiento y configuración de la red de datos, en caso que se presente una falla se realizará configuración necesaria para mantener la disponibilidad de los servicios de red. Evidencia: Log de eventos de los equipos de seguridad perimetral e informe de la disponibilidad de la red de datos.</t>
  </si>
  <si>
    <t>Verificar el estado de los equipos de seguridad perimetral.</t>
  </si>
  <si>
    <t>Monitoreando el funcionamiento y configuración de la red de datos.</t>
  </si>
  <si>
    <t>En caso que se presente una falla se realizará configuración necesaria para mantener la disponibilidad de los servicios de red.</t>
  </si>
  <si>
    <t>Log de eventos de los equipos de seguridad perimetral e informe de la disponibilidad de la red de datos.
S:\SKMS\Documentacion MDA-CC\_INFORMES\Contrato 1672315 de 2020</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</si>
  <si>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</si>
  <si>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</si>
  <si>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</si>
  <si>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dispositivos electronicos Centro Operativo</t>
  </si>
  <si>
    <t xml:space="preserve">El profesional (Enfermero o Medico) responsable de turno en el centro Operativo. </t>
  </si>
  <si>
    <t>Controlar el uso de dispositivos móviles</t>
  </si>
  <si>
    <t>mediante la asignación de locker personal
y de Inspecciones visuales</t>
  </si>
  <si>
    <t>Elabora novedad comportamental</t>
  </si>
  <si>
    <t>Informe dirigida a Subdirector/a
Registro de acciones realizadas</t>
  </si>
  <si>
    <t>Resolucion 2860 de 2018 SDS.
SDS-UED-PR-005
SDS-UED-LN-008
SDS-UED-LN-006</t>
  </si>
  <si>
    <t>Profesional responsable de turno
Cámaras de vigilancia
Dotación mobiliaria</t>
  </si>
  <si>
    <t>Reporte al lider del proceso y a las instancias disciplinarias pertinentes.</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</si>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</sst>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83">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9"/>
      <color indexed="8"/>
      <name val="Arial"/>
      <family val="2"/>
    </font>
    <font>
      <sz val="11"/>
      <name val="Calibri"/>
      <family val="2"/>
    </font>
    <font>
      <b/>
      <sz val="14"/>
      <color indexed="8"/>
      <name val="Arial Narrow"/>
      <family val="2"/>
    </font>
    <font>
      <b/>
      <sz val="12"/>
      <color indexed="8"/>
      <name val="Arial Narrow"/>
      <family val="2"/>
    </font>
    <font>
      <sz val="12"/>
      <color indexed="8"/>
      <name val="Arial Narrow"/>
      <family val="2"/>
    </font>
    <font>
      <b/>
      <sz val="12"/>
      <color indexed="57"/>
      <name val="Arial Narrow"/>
      <family val="2"/>
    </font>
    <font>
      <b/>
      <sz val="12"/>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8"/>
      <color indexed="8"/>
      <name val="Arial"/>
      <family val="2"/>
    </font>
    <font>
      <sz val="11"/>
      <color indexed="8"/>
      <name val="Arial"/>
      <family val="2"/>
    </font>
    <font>
      <b/>
      <sz val="9"/>
      <color indexed="8"/>
      <name val="Arial"/>
      <family val="2"/>
    </font>
    <font>
      <b/>
      <sz val="11"/>
      <color indexed="9"/>
      <name val="Arial"/>
      <family val="2"/>
    </font>
    <font>
      <b/>
      <sz val="18"/>
      <color indexed="9"/>
      <name val="Arial"/>
      <family val="2"/>
    </font>
    <font>
      <b/>
      <sz val="12"/>
      <color indexed="8"/>
      <name val="Arial"/>
      <family val="2"/>
    </font>
    <font>
      <b/>
      <sz val="12"/>
      <color indexed="9"/>
      <name val="Arial"/>
      <family val="2"/>
    </font>
    <font>
      <b/>
      <sz val="16"/>
      <color indexed="9"/>
      <name val="Arial"/>
      <family val="2"/>
    </font>
    <font>
      <sz val="9"/>
      <name val="Tahoma"/>
      <family val="2"/>
    </font>
    <font>
      <sz val="9"/>
      <color indexed="10"/>
      <name val="Arial"/>
      <family val="2"/>
    </font>
    <font>
      <sz val="9"/>
      <name val="Arial"/>
      <family val="2"/>
    </font>
    <font>
      <strike/>
      <sz val="9"/>
      <color indexed="8"/>
      <name val="Arial"/>
      <family val="2"/>
    </font>
    <font>
      <b/>
      <sz val="9"/>
      <name val="Tahoma"/>
      <family val="2"/>
    </font>
    <font>
      <i/>
      <sz val="9"/>
      <color indexed="8"/>
      <name val="Arial"/>
      <family val="2"/>
    </font>
    <font>
      <sz val="9"/>
      <color indexed="53"/>
      <name val="Arial"/>
      <family val="2"/>
    </font>
    <font>
      <sz val="9"/>
      <color indexed="5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sz val="8"/>
      <color theme="1"/>
      <name val="Arial"/>
      <family val="2"/>
    </font>
    <font>
      <b/>
      <sz val="12"/>
      <color theme="0"/>
      <name val="Arial"/>
      <family val="2"/>
    </font>
    <font>
      <b/>
      <sz val="18"/>
      <color theme="0"/>
      <name val="Arial"/>
      <family val="2"/>
    </font>
    <font>
      <sz val="9"/>
      <color rgb="FFFF0000"/>
      <name val="Arial"/>
      <family val="2"/>
    </font>
    <font>
      <b/>
      <sz val="12"/>
      <color theme="1"/>
      <name val="Arial"/>
      <family val="2"/>
    </font>
    <font>
      <b/>
      <sz val="16"/>
      <color theme="0"/>
      <name val="Arial"/>
      <family val="2"/>
    </font>
    <font>
      <sz val="12"/>
      <color theme="1"/>
      <name val="Arial Narrow"/>
      <family val="2"/>
    </font>
    <font>
      <b/>
      <sz val="14"/>
      <color rgb="FF000000"/>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style="thin"/>
      <top/>
      <bottom/>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bottom style="thin"/>
    </border>
    <border>
      <left style="thin"/>
      <right style="medium"/>
      <top style="medium"/>
      <bottom/>
    </border>
    <border>
      <left/>
      <right style="medium"/>
      <top style="medium"/>
      <bottom/>
    </border>
    <border>
      <left style="thin"/>
      <right style="thin"/>
      <top style="medium"/>
      <bottom/>
    </border>
    <border>
      <left style="medium"/>
      <right style="thin"/>
      <top style="medium"/>
      <bottom/>
    </border>
    <border>
      <left style="medium"/>
      <right style="medium"/>
      <top style="medium"/>
      <bottom/>
    </border>
    <border>
      <left style="thin"/>
      <right style="medium"/>
      <top/>
      <bottom/>
    </border>
    <border>
      <left style="thin"/>
      <right/>
      <top style="medium"/>
      <bottom style="thin"/>
    </border>
    <border>
      <left style="thin"/>
      <right/>
      <top style="thin"/>
      <bottom style="thin"/>
    </border>
    <border>
      <left style="thin"/>
      <right style="medium"/>
      <top/>
      <bottom style="medium"/>
    </border>
    <border>
      <left style="medium"/>
      <right style="thin"/>
      <top/>
      <bottom style="medium"/>
    </border>
    <border>
      <left style="thin"/>
      <right style="thin"/>
      <top/>
      <bottom style="medium"/>
    </border>
    <border>
      <left style="medium"/>
      <right style="medium"/>
      <top/>
      <bottom style="medium"/>
    </border>
    <border>
      <left style="medium"/>
      <right style="thin"/>
      <top/>
      <bottom/>
    </border>
    <border>
      <left style="medium"/>
      <right style="thin"/>
      <top style="thin"/>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right style="thin"/>
      <top style="thin"/>
      <bottom/>
    </border>
    <border>
      <left style="thin"/>
      <right/>
      <top/>
      <bottom style="thin"/>
    </border>
    <border>
      <left/>
      <right/>
      <top/>
      <bottom style="thin"/>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403">
    <xf numFmtId="0" fontId="0" fillId="0" borderId="0" xfId="0" applyFont="1" applyAlignment="1">
      <alignment/>
    </xf>
    <xf numFmtId="0" fontId="52" fillId="33" borderId="0" xfId="0" applyFont="1" applyFill="1" applyBorder="1" applyAlignment="1">
      <alignment/>
    </xf>
    <xf numFmtId="0" fontId="64" fillId="0" borderId="0" xfId="0" applyFont="1" applyAlignment="1">
      <alignment/>
    </xf>
    <xf numFmtId="0" fontId="0" fillId="0" borderId="10" xfId="0" applyFont="1" applyBorder="1" applyAlignment="1">
      <alignment/>
    </xf>
    <xf numFmtId="0" fontId="6" fillId="34" borderId="0" xfId="0" applyFont="1" applyFill="1" applyAlignment="1">
      <alignment vertical="center"/>
    </xf>
    <xf numFmtId="0" fontId="0" fillId="0" borderId="0" xfId="0" applyFont="1" applyBorder="1" applyAlignment="1">
      <alignment/>
    </xf>
    <xf numFmtId="0" fontId="52" fillId="33" borderId="11" xfId="0" applyFont="1" applyFill="1" applyBorder="1" applyAlignment="1">
      <alignment/>
    </xf>
    <xf numFmtId="0" fontId="0" fillId="35" borderId="12" xfId="0" applyFont="1" applyFill="1" applyBorder="1" applyAlignment="1">
      <alignment/>
    </xf>
    <xf numFmtId="0" fontId="0" fillId="36" borderId="12" xfId="0" applyFont="1" applyFill="1" applyBorder="1" applyAlignment="1">
      <alignment/>
    </xf>
    <xf numFmtId="0" fontId="0" fillId="0" borderId="13" xfId="0" applyBorder="1" applyAlignment="1">
      <alignment horizontal="center" vertical="center"/>
    </xf>
    <xf numFmtId="0" fontId="64" fillId="0" borderId="0" xfId="0" applyFont="1" applyAlignment="1">
      <alignment horizontal="center" vertical="center"/>
    </xf>
    <xf numFmtId="0" fontId="64" fillId="0" borderId="13" xfId="0" applyFont="1" applyBorder="1" applyAlignment="1">
      <alignment horizontal="center" vertical="center"/>
    </xf>
    <xf numFmtId="0" fontId="64" fillId="37" borderId="0" xfId="0" applyFont="1" applyFill="1" applyAlignment="1">
      <alignment horizontal="center" vertical="center"/>
    </xf>
    <xf numFmtId="0" fontId="64" fillId="24" borderId="0" xfId="0" applyFont="1" applyFill="1" applyAlignment="1">
      <alignment horizontal="center" vertical="center"/>
    </xf>
    <xf numFmtId="0" fontId="64" fillId="38" borderId="0" xfId="0" applyFont="1" applyFill="1" applyAlignment="1">
      <alignment horizontal="center" vertical="center"/>
    </xf>
    <xf numFmtId="0" fontId="64" fillId="39" borderId="0" xfId="0" applyFont="1" applyFill="1" applyAlignment="1">
      <alignment horizontal="center" vertical="center"/>
    </xf>
    <xf numFmtId="0" fontId="65" fillId="39" borderId="14" xfId="0" applyFont="1" applyFill="1" applyBorder="1" applyAlignment="1">
      <alignment horizontal="center" vertical="center" wrapText="1" readingOrder="1"/>
    </xf>
    <xf numFmtId="0" fontId="65" fillId="40" borderId="15" xfId="0" applyFont="1" applyFill="1" applyBorder="1" applyAlignment="1">
      <alignment horizontal="center" vertical="center" wrapText="1" readingOrder="1"/>
    </xf>
    <xf numFmtId="0" fontId="65" fillId="41" borderId="15" xfId="0" applyFont="1" applyFill="1" applyBorder="1" applyAlignment="1">
      <alignment horizontal="center" vertical="center" wrapText="1" readingOrder="1"/>
    </xf>
    <xf numFmtId="0" fontId="65" fillId="42" borderId="15" xfId="0" applyFont="1" applyFill="1" applyBorder="1" applyAlignment="1">
      <alignment horizontal="center" vertical="center" wrapText="1" readingOrder="1"/>
    </xf>
    <xf numFmtId="0" fontId="66" fillId="37" borderId="15" xfId="0" applyFont="1" applyFill="1" applyBorder="1" applyAlignment="1">
      <alignment horizontal="center" vertical="center" wrapText="1" readingOrder="1"/>
    </xf>
    <xf numFmtId="0" fontId="67" fillId="43" borderId="13" xfId="0" applyFont="1" applyFill="1" applyBorder="1" applyAlignment="1">
      <alignment horizontal="center" vertical="center" wrapText="1" readingOrder="1"/>
    </xf>
    <xf numFmtId="9" fontId="65" fillId="0" borderId="13" xfId="0" applyNumberFormat="1" applyFont="1" applyBorder="1" applyAlignment="1">
      <alignment horizontal="center" vertical="center" wrapText="1" readingOrder="1"/>
    </xf>
    <xf numFmtId="9" fontId="0" fillId="0" borderId="0" xfId="0" applyNumberFormat="1" applyAlignment="1">
      <alignment/>
    </xf>
    <xf numFmtId="0" fontId="67" fillId="43" borderId="16" xfId="0" applyFont="1" applyFill="1" applyBorder="1" applyAlignment="1">
      <alignment horizontal="center" vertical="center" wrapText="1" readingOrder="1"/>
    </xf>
    <xf numFmtId="0" fontId="67" fillId="43" borderId="0" xfId="0" applyFont="1" applyFill="1" applyBorder="1" applyAlignment="1">
      <alignment horizontal="center" vertical="center" wrapText="1" readingOrder="1"/>
    </xf>
    <xf numFmtId="0" fontId="67" fillId="43" borderId="17" xfId="0" applyFont="1" applyFill="1" applyBorder="1" applyAlignment="1">
      <alignment horizontal="center" vertical="center" wrapText="1" readingOrder="1"/>
    </xf>
    <xf numFmtId="0" fontId="65" fillId="0" borderId="18" xfId="0" applyFont="1" applyBorder="1" applyAlignment="1">
      <alignment horizontal="center" vertical="center" wrapText="1" readingOrder="1"/>
    </xf>
    <xf numFmtId="0" fontId="65" fillId="0" borderId="19" xfId="0" applyFont="1" applyBorder="1" applyAlignment="1">
      <alignment horizontal="center" vertical="center" wrapText="1" readingOrder="1"/>
    </xf>
    <xf numFmtId="0" fontId="0" fillId="0" borderId="0" xfId="0" applyBorder="1" applyAlignment="1">
      <alignment/>
    </xf>
    <xf numFmtId="0" fontId="65" fillId="0" borderId="18" xfId="0" applyFont="1" applyBorder="1" applyAlignment="1">
      <alignment horizontal="justify" vertical="center" wrapText="1" readingOrder="1"/>
    </xf>
    <xf numFmtId="0" fontId="65" fillId="0" borderId="19" xfId="0" applyFont="1" applyBorder="1" applyAlignment="1">
      <alignment horizontal="justify" vertical="center" wrapText="1" readingOrder="1"/>
    </xf>
    <xf numFmtId="0" fontId="65" fillId="0" borderId="20" xfId="0" applyFont="1" applyBorder="1" applyAlignment="1">
      <alignment horizontal="justify" vertical="center" wrapText="1" readingOrder="1"/>
    </xf>
    <xf numFmtId="0" fontId="66" fillId="37" borderId="21" xfId="0" applyFont="1" applyFill="1" applyBorder="1" applyAlignment="1">
      <alignment horizontal="center" vertical="center" wrapText="1" readingOrder="1"/>
    </xf>
    <xf numFmtId="0" fontId="67" fillId="43" borderId="22" xfId="0" applyFont="1" applyFill="1" applyBorder="1" applyAlignment="1">
      <alignment horizontal="center" vertical="center" wrapText="1" readingOrder="1"/>
    </xf>
    <xf numFmtId="9" fontId="65"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65" fillId="0" borderId="0" xfId="0" applyFont="1" applyBorder="1" applyAlignment="1">
      <alignment horizontal="center" vertical="center" wrapText="1" readingOrder="1"/>
    </xf>
    <xf numFmtId="0" fontId="67" fillId="43" borderId="25" xfId="0" applyFont="1" applyFill="1" applyBorder="1" applyAlignment="1">
      <alignment horizontal="center" vertical="center" wrapText="1" readingOrder="1"/>
    </xf>
    <xf numFmtId="0" fontId="65" fillId="0" borderId="25" xfId="0" applyFont="1" applyBorder="1" applyAlignment="1">
      <alignment horizontal="justify" vertical="center" wrapText="1" readingOrder="1"/>
    </xf>
    <xf numFmtId="0" fontId="65" fillId="39" borderId="22" xfId="0" applyFont="1" applyFill="1" applyBorder="1" applyAlignment="1">
      <alignment horizontal="center" vertical="center" wrapText="1" readingOrder="1"/>
    </xf>
    <xf numFmtId="0" fontId="65" fillId="40" borderId="22" xfId="0" applyFont="1" applyFill="1" applyBorder="1" applyAlignment="1">
      <alignment horizontal="center" vertical="center" wrapText="1" readingOrder="1"/>
    </xf>
    <xf numFmtId="0" fontId="65" fillId="41" borderId="22" xfId="0" applyFont="1" applyFill="1" applyBorder="1" applyAlignment="1">
      <alignment horizontal="center" vertical="center" wrapText="1" readingOrder="1"/>
    </xf>
    <xf numFmtId="0" fontId="65" fillId="42" borderId="22" xfId="0" applyFont="1" applyFill="1" applyBorder="1" applyAlignment="1">
      <alignment horizontal="center" vertical="center" wrapText="1" readingOrder="1"/>
    </xf>
    <xf numFmtId="0" fontId="65" fillId="0" borderId="26" xfId="0" applyFont="1" applyBorder="1" applyAlignment="1">
      <alignment horizontal="justify" vertical="center" wrapText="1" readingOrder="1"/>
    </xf>
    <xf numFmtId="0" fontId="0" fillId="0" borderId="23" xfId="0" applyBorder="1" applyAlignment="1">
      <alignment horizontal="center" vertical="center"/>
    </xf>
    <xf numFmtId="0" fontId="6"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8" fillId="0" borderId="13" xfId="0" applyFont="1" applyBorder="1" applyAlignment="1">
      <alignment vertical="center" wrapText="1"/>
    </xf>
    <xf numFmtId="0" fontId="64" fillId="0" borderId="13" xfId="0" applyFont="1" applyBorder="1" applyAlignment="1">
      <alignment vertical="center"/>
    </xf>
    <xf numFmtId="0" fontId="69" fillId="7" borderId="28" xfId="0" applyFont="1" applyFill="1" applyBorder="1" applyAlignment="1">
      <alignment horizontal="center" vertical="center" wrapText="1" readingOrder="1"/>
    </xf>
    <xf numFmtId="0" fontId="70" fillId="34" borderId="29" xfId="0" applyFont="1" applyFill="1" applyBorder="1" applyAlignment="1">
      <alignment horizontal="justify" vertical="center" wrapText="1" readingOrder="1"/>
    </xf>
    <xf numFmtId="9" fontId="69" fillId="34" borderId="30" xfId="0" applyNumberFormat="1" applyFont="1" applyFill="1" applyBorder="1" applyAlignment="1">
      <alignment horizontal="center" vertical="center" wrapText="1" readingOrder="1"/>
    </xf>
    <xf numFmtId="0" fontId="70" fillId="34" borderId="13" xfId="0" applyFont="1" applyFill="1" applyBorder="1" applyAlignment="1">
      <alignment horizontal="justify" vertical="center" wrapText="1" readingOrder="1"/>
    </xf>
    <xf numFmtId="9" fontId="69" fillId="34" borderId="22" xfId="0" applyNumberFormat="1" applyFont="1" applyFill="1" applyBorder="1" applyAlignment="1">
      <alignment horizontal="center" vertical="center" wrapText="1" readingOrder="1"/>
    </xf>
    <xf numFmtId="0" fontId="70" fillId="34" borderId="22" xfId="0" applyFont="1" applyFill="1" applyBorder="1" applyAlignment="1">
      <alignment horizontal="center" vertical="center" wrapText="1" readingOrder="1"/>
    </xf>
    <xf numFmtId="0" fontId="70" fillId="34" borderId="23" xfId="0" applyFont="1" applyFill="1" applyBorder="1" applyAlignment="1">
      <alignment horizontal="justify" vertical="center" wrapText="1" readingOrder="1"/>
    </xf>
    <xf numFmtId="0" fontId="70"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70" fillId="34" borderId="25" xfId="0" applyFont="1" applyFill="1" applyBorder="1" applyAlignment="1">
      <alignment horizontal="center" vertical="center" wrapText="1" readingOrder="1"/>
    </xf>
    <xf numFmtId="0" fontId="70" fillId="34" borderId="26" xfId="0" applyFont="1" applyFill="1" applyBorder="1" applyAlignment="1">
      <alignment horizontal="center" vertical="center" wrapText="1" readingOrder="1"/>
    </xf>
    <xf numFmtId="0" fontId="0" fillId="0" borderId="22" xfId="0" applyFont="1" applyBorder="1" applyAlignment="1">
      <alignment horizontal="center"/>
    </xf>
    <xf numFmtId="0" fontId="0" fillId="0" borderId="27" xfId="0" applyFont="1" applyBorder="1" applyAlignment="1">
      <alignment horizontal="center"/>
    </xf>
    <xf numFmtId="0" fontId="0" fillId="0" borderId="31" xfId="0" applyFont="1" applyBorder="1" applyAlignment="1">
      <alignment/>
    </xf>
    <xf numFmtId="0" fontId="0" fillId="0" borderId="32" xfId="0" applyFont="1" applyBorder="1" applyAlignment="1">
      <alignment/>
    </xf>
    <xf numFmtId="0" fontId="52" fillId="33" borderId="0" xfId="0" applyFont="1" applyFill="1" applyBorder="1" applyAlignment="1">
      <alignment/>
    </xf>
    <xf numFmtId="0" fontId="65" fillId="0" borderId="0" xfId="0" applyFont="1" applyBorder="1" applyAlignment="1">
      <alignment horizontal="center" vertical="center" wrapText="1" readingOrder="1"/>
    </xf>
    <xf numFmtId="0" fontId="69" fillId="7" borderId="33" xfId="0" applyFont="1" applyFill="1" applyBorder="1" applyAlignment="1">
      <alignment horizontal="center" vertical="center" wrapText="1" readingOrder="1"/>
    </xf>
    <xf numFmtId="0" fontId="69" fillId="34" borderId="29" xfId="0" applyFont="1" applyFill="1" applyBorder="1" applyAlignment="1">
      <alignment horizontal="center" vertical="center" wrapText="1" readingOrder="1"/>
    </xf>
    <xf numFmtId="0" fontId="69" fillId="34" borderId="13" xfId="0" applyFont="1" applyFill="1" applyBorder="1" applyAlignment="1">
      <alignment horizontal="center" vertical="center" wrapText="1" readingOrder="1"/>
    </xf>
    <xf numFmtId="0" fontId="69" fillId="34" borderId="23" xfId="0" applyFont="1" applyFill="1" applyBorder="1" applyAlignment="1">
      <alignment horizontal="center" vertical="center" wrapText="1" readingOrder="1"/>
    </xf>
    <xf numFmtId="0" fontId="0" fillId="0" borderId="10" xfId="0" applyFont="1" applyBorder="1" applyAlignment="1">
      <alignment/>
    </xf>
    <xf numFmtId="0" fontId="65" fillId="0" borderId="0" xfId="0" applyFont="1" applyBorder="1" applyAlignment="1">
      <alignment horizontal="justify" vertical="center" readingOrder="1"/>
    </xf>
    <xf numFmtId="0" fontId="67" fillId="43" borderId="34" xfId="0" applyFont="1" applyFill="1" applyBorder="1" applyAlignment="1">
      <alignment horizontal="center" vertical="center" wrapText="1" readingOrder="1"/>
    </xf>
    <xf numFmtId="0" fontId="67" fillId="43" borderId="35" xfId="0" applyFont="1" applyFill="1" applyBorder="1" applyAlignment="1">
      <alignment horizontal="center" vertical="center" wrapText="1" readingOrder="1"/>
    </xf>
    <xf numFmtId="0" fontId="0" fillId="0" borderId="0" xfId="0" applyFont="1" applyBorder="1" applyAlignment="1">
      <alignment/>
    </xf>
    <xf numFmtId="0" fontId="0" fillId="0" borderId="10" xfId="0" applyFont="1" applyBorder="1" applyAlignment="1">
      <alignment/>
    </xf>
    <xf numFmtId="0" fontId="68" fillId="0" borderId="13" xfId="0" applyFont="1" applyBorder="1" applyAlignment="1" applyProtection="1">
      <alignment horizontal="justify" vertical="center"/>
      <protection locked="0"/>
    </xf>
    <xf numFmtId="14" fontId="68" fillId="0" borderId="13" xfId="0" applyNumberFormat="1" applyFont="1" applyBorder="1" applyAlignment="1" applyProtection="1">
      <alignment horizontal="center" vertical="center" wrapText="1"/>
      <protection locked="0"/>
    </xf>
    <xf numFmtId="0" fontId="68" fillId="0" borderId="36" xfId="0" applyFont="1" applyBorder="1" applyAlignment="1" applyProtection="1">
      <alignment horizontal="justify" vertical="center"/>
      <protection locked="0"/>
    </xf>
    <xf numFmtId="14" fontId="68" fillId="0" borderId="36" xfId="0" applyNumberFormat="1" applyFont="1" applyBorder="1" applyAlignment="1" applyProtection="1">
      <alignment horizontal="center" vertical="center" wrapText="1"/>
      <protection locked="0"/>
    </xf>
    <xf numFmtId="0" fontId="68" fillId="0" borderId="23" xfId="0" applyFont="1" applyBorder="1" applyAlignment="1" applyProtection="1">
      <alignment horizontal="justify" vertical="center"/>
      <protection locked="0"/>
    </xf>
    <xf numFmtId="14" fontId="68" fillId="0" borderId="23" xfId="0" applyNumberFormat="1" applyFont="1" applyBorder="1" applyAlignment="1" applyProtection="1">
      <alignment horizontal="center" vertical="center" wrapText="1"/>
      <protection locked="0"/>
    </xf>
    <xf numFmtId="0" fontId="68" fillId="0" borderId="35" xfId="0" applyFont="1" applyBorder="1" applyAlignment="1" applyProtection="1">
      <alignment horizontal="center" vertical="center"/>
      <protection locked="0"/>
    </xf>
    <xf numFmtId="0" fontId="68" fillId="0" borderId="22" xfId="0" applyFont="1" applyBorder="1" applyAlignment="1" applyProtection="1">
      <alignment horizontal="center" vertical="center"/>
      <protection locked="0"/>
    </xf>
    <xf numFmtId="9" fontId="68" fillId="6" borderId="35" xfId="0" applyNumberFormat="1" applyFont="1" applyFill="1" applyBorder="1" applyAlignment="1" applyProtection="1">
      <alignment horizontal="center" vertical="center" wrapText="1"/>
      <protection hidden="1"/>
    </xf>
    <xf numFmtId="9" fontId="68" fillId="6" borderId="22" xfId="0" applyNumberFormat="1" applyFont="1" applyFill="1" applyBorder="1" applyAlignment="1" applyProtection="1">
      <alignment horizontal="center" vertical="center" wrapText="1"/>
      <protection hidden="1"/>
    </xf>
    <xf numFmtId="0" fontId="0" fillId="0" borderId="0" xfId="0" applyAlignment="1" applyProtection="1">
      <alignment/>
      <protection locked="0"/>
    </xf>
    <xf numFmtId="0" fontId="71" fillId="0" borderId="34"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71" fillId="0" borderId="25" xfId="0" applyFont="1" applyBorder="1" applyAlignment="1" applyProtection="1">
      <alignment horizontal="center" vertical="center"/>
      <protection locked="0"/>
    </xf>
    <xf numFmtId="0" fontId="68" fillId="0" borderId="13" xfId="0" applyFont="1" applyBorder="1" applyAlignment="1" applyProtection="1">
      <alignment horizontal="center" vertical="center"/>
      <protection locked="0"/>
    </xf>
    <xf numFmtId="0" fontId="68" fillId="0" borderId="23" xfId="0" applyFont="1" applyBorder="1" applyAlignment="1" applyProtection="1">
      <alignment horizontal="center" vertical="center"/>
      <protection locked="0"/>
    </xf>
    <xf numFmtId="0" fontId="72" fillId="23" borderId="13" xfId="0" applyFont="1" applyFill="1" applyBorder="1" applyAlignment="1" applyProtection="1">
      <alignment horizontal="center" vertical="center"/>
      <protection locked="0"/>
    </xf>
    <xf numFmtId="0" fontId="72" fillId="23" borderId="13" xfId="0" applyFont="1" applyFill="1" applyBorder="1" applyAlignment="1" applyProtection="1">
      <alignment vertical="center"/>
      <protection locked="0"/>
    </xf>
    <xf numFmtId="0" fontId="73" fillId="0" borderId="13" xfId="0" applyFont="1" applyBorder="1" applyAlignment="1" applyProtection="1">
      <alignment horizontal="left"/>
      <protection locked="0"/>
    </xf>
    <xf numFmtId="0" fontId="71" fillId="44" borderId="36" xfId="0" applyFont="1" applyFill="1" applyBorder="1" applyAlignment="1" applyProtection="1">
      <alignment horizontal="center" vertical="center" textRotation="90" wrapText="1"/>
      <protection/>
    </xf>
    <xf numFmtId="0" fontId="71" fillId="44" borderId="37" xfId="0" applyFont="1" applyFill="1" applyBorder="1" applyAlignment="1" applyProtection="1">
      <alignment horizontal="center" vertical="center" wrapText="1"/>
      <protection/>
    </xf>
    <xf numFmtId="0" fontId="71" fillId="44" borderId="37" xfId="0" applyFont="1" applyFill="1" applyBorder="1" applyAlignment="1" applyProtection="1">
      <alignment horizontal="center" vertical="center" textRotation="90" wrapText="1"/>
      <protection/>
    </xf>
    <xf numFmtId="0" fontId="71" fillId="6" borderId="38" xfId="0" applyFont="1" applyFill="1" applyBorder="1" applyAlignment="1" applyProtection="1">
      <alignment horizontal="center" vertical="center" textRotation="90" wrapText="1"/>
      <protection/>
    </xf>
    <xf numFmtId="0" fontId="68" fillId="6" borderId="39" xfId="0" applyFont="1" applyFill="1" applyBorder="1" applyAlignment="1" applyProtection="1">
      <alignment horizontal="center" vertical="center"/>
      <protection hidden="1"/>
    </xf>
    <xf numFmtId="164" fontId="68" fillId="6" borderId="36" xfId="53" applyNumberFormat="1" applyFont="1" applyFill="1" applyBorder="1" applyAlignment="1" applyProtection="1">
      <alignment horizontal="center" vertical="center" wrapText="1"/>
      <protection hidden="1"/>
    </xf>
    <xf numFmtId="0" fontId="68" fillId="6" borderId="40" xfId="0" applyFont="1" applyFill="1" applyBorder="1" applyAlignment="1" applyProtection="1">
      <alignment horizontal="center" vertical="center"/>
      <protection hidden="1"/>
    </xf>
    <xf numFmtId="164" fontId="68" fillId="6" borderId="13" xfId="53" applyNumberFormat="1" applyFont="1" applyFill="1" applyBorder="1" applyAlignment="1" applyProtection="1">
      <alignment horizontal="center" vertical="center" wrapText="1"/>
      <protection hidden="1"/>
    </xf>
    <xf numFmtId="0" fontId="74" fillId="0" borderId="13" xfId="0" applyFont="1" applyBorder="1" applyAlignment="1" applyProtection="1">
      <alignment vertical="center" wrapText="1"/>
      <protection/>
    </xf>
    <xf numFmtId="0" fontId="71" fillId="44" borderId="41" xfId="0" applyFont="1" applyFill="1" applyBorder="1" applyAlignment="1" applyProtection="1">
      <alignment horizontal="center" vertical="center" wrapText="1"/>
      <protection/>
    </xf>
    <xf numFmtId="0" fontId="72" fillId="23" borderId="42" xfId="0" applyFont="1" applyFill="1" applyBorder="1" applyAlignment="1" applyProtection="1">
      <alignment horizontal="center" vertical="center"/>
      <protection locked="0"/>
    </xf>
    <xf numFmtId="0" fontId="16" fillId="45" borderId="43" xfId="0" applyFont="1" applyFill="1" applyBorder="1" applyAlignment="1" applyProtection="1">
      <alignment horizontal="center" vertical="center" wrapText="1"/>
      <protection locked="0"/>
    </xf>
    <xf numFmtId="0" fontId="16" fillId="45" borderId="44" xfId="0" applyFont="1" applyFill="1" applyBorder="1" applyAlignment="1" applyProtection="1">
      <alignment horizontal="center" vertical="center" wrapText="1"/>
      <protection locked="0"/>
    </xf>
    <xf numFmtId="0" fontId="75" fillId="23" borderId="42" xfId="0" applyFont="1" applyFill="1" applyBorder="1" applyAlignment="1" applyProtection="1">
      <alignment horizontal="center" vertical="center"/>
      <protection/>
    </xf>
    <xf numFmtId="0" fontId="19" fillId="6" borderId="45" xfId="0" applyFont="1" applyFill="1" applyBorder="1" applyAlignment="1" applyProtection="1">
      <alignment horizontal="left" vertical="center" wrapText="1"/>
      <protection/>
    </xf>
    <xf numFmtId="0" fontId="12" fillId="6" borderId="46" xfId="0" applyFont="1" applyFill="1" applyBorder="1" applyAlignment="1" applyProtection="1">
      <alignment horizontal="center" vertical="center" wrapText="1"/>
      <protection/>
    </xf>
    <xf numFmtId="0" fontId="13" fillId="6" borderId="47" xfId="0" applyFont="1" applyFill="1" applyBorder="1" applyAlignment="1" applyProtection="1">
      <alignment horizontal="left" vertical="center" wrapText="1"/>
      <protection/>
    </xf>
    <xf numFmtId="0" fontId="18" fillId="6" borderId="47" xfId="0" applyFont="1" applyFill="1" applyBorder="1" applyAlignment="1" applyProtection="1">
      <alignment horizontal="center" vertical="center" wrapText="1"/>
      <protection/>
    </xf>
    <xf numFmtId="0" fontId="13" fillId="6" borderId="45" xfId="0" applyFont="1" applyFill="1" applyBorder="1" applyAlignment="1" applyProtection="1">
      <alignment horizontal="center" vertical="center" wrapText="1"/>
      <protection/>
    </xf>
    <xf numFmtId="0" fontId="15" fillId="6" borderId="48" xfId="0" applyFont="1" applyFill="1" applyBorder="1" applyAlignment="1" applyProtection="1">
      <alignment horizontal="justify" vertical="center" wrapText="1"/>
      <protection/>
    </xf>
    <xf numFmtId="0" fontId="13" fillId="6" borderId="49" xfId="0" applyFont="1" applyFill="1" applyBorder="1" applyAlignment="1" applyProtection="1">
      <alignment horizontal="center" vertical="center" wrapText="1"/>
      <protection/>
    </xf>
    <xf numFmtId="0" fontId="15" fillId="6" borderId="50" xfId="0" applyFont="1" applyFill="1" applyBorder="1" applyAlignment="1" applyProtection="1">
      <alignment horizontal="justify" vertical="center" wrapText="1"/>
      <protection/>
    </xf>
    <xf numFmtId="0" fontId="13" fillId="6" borderId="47" xfId="0" applyFont="1" applyFill="1" applyBorder="1" applyAlignment="1" applyProtection="1">
      <alignment horizontal="center" vertical="center" wrapText="1"/>
      <protection/>
    </xf>
    <xf numFmtId="0" fontId="15" fillId="6" borderId="51" xfId="0" applyFont="1" applyFill="1" applyBorder="1" applyAlignment="1" applyProtection="1">
      <alignment horizontal="justify" vertical="center" wrapText="1"/>
      <protection/>
    </xf>
    <xf numFmtId="0" fontId="16" fillId="6" borderId="46" xfId="0" applyFont="1" applyFill="1" applyBorder="1" applyAlignment="1" applyProtection="1">
      <alignment horizontal="center" vertical="center"/>
      <protection hidden="1"/>
    </xf>
    <xf numFmtId="0" fontId="13" fillId="6" borderId="45" xfId="0" applyFont="1" applyFill="1" applyBorder="1" applyAlignment="1" applyProtection="1">
      <alignment horizontal="center"/>
      <protection hidden="1"/>
    </xf>
    <xf numFmtId="0" fontId="13" fillId="6" borderId="47" xfId="0" applyFont="1" applyFill="1" applyBorder="1" applyAlignment="1" applyProtection="1">
      <alignment horizontal="center"/>
      <protection hidden="1"/>
    </xf>
    <xf numFmtId="0" fontId="14" fillId="6" borderId="52" xfId="0" applyFont="1" applyFill="1" applyBorder="1" applyAlignment="1" applyProtection="1">
      <alignment vertical="center" wrapText="1"/>
      <protection/>
    </xf>
    <xf numFmtId="0" fontId="14" fillId="6" borderId="25" xfId="0" applyFont="1" applyFill="1" applyBorder="1" applyAlignment="1" applyProtection="1">
      <alignment vertical="center" wrapText="1"/>
      <protection/>
    </xf>
    <xf numFmtId="9" fontId="68" fillId="6" borderId="36" xfId="0" applyNumberFormat="1" applyFont="1" applyFill="1" applyBorder="1" applyAlignment="1" applyProtection="1">
      <alignment horizontal="center" vertical="center" wrapText="1"/>
      <protection hidden="1"/>
    </xf>
    <xf numFmtId="0" fontId="68" fillId="0" borderId="22" xfId="0" applyFont="1" applyBorder="1" applyAlignment="1" applyProtection="1">
      <alignment horizontal="center" vertical="center" wrapText="1"/>
      <protection locked="0"/>
    </xf>
    <xf numFmtId="0" fontId="68" fillId="0" borderId="35" xfId="0" applyFont="1" applyBorder="1" applyAlignment="1" applyProtection="1">
      <alignment horizontal="center" vertical="center" wrapText="1"/>
      <protection locked="0"/>
    </xf>
    <xf numFmtId="0" fontId="68" fillId="0" borderId="45" xfId="0" applyFont="1" applyBorder="1" applyAlignment="1" applyProtection="1">
      <alignment horizontal="center" vertical="center" wrapText="1"/>
      <protection locked="0"/>
    </xf>
    <xf numFmtId="0" fontId="68" fillId="0" borderId="13" xfId="0" applyFont="1" applyBorder="1" applyAlignment="1" applyProtection="1">
      <alignment horizontal="center" vertical="center" wrapText="1"/>
      <protection locked="0"/>
    </xf>
    <xf numFmtId="0" fontId="68" fillId="0" borderId="36" xfId="0" applyFont="1" applyBorder="1" applyAlignment="1" applyProtection="1">
      <alignment horizontal="center" vertical="center" wrapText="1"/>
      <protection locked="0"/>
    </xf>
    <xf numFmtId="0" fontId="68" fillId="0" borderId="23" xfId="0" applyFont="1" applyBorder="1" applyAlignment="1" applyProtection="1">
      <alignment horizontal="center" vertical="center" wrapText="1"/>
      <protection locked="0"/>
    </xf>
    <xf numFmtId="0" fontId="68" fillId="6" borderId="36" xfId="0" applyFont="1" applyFill="1" applyBorder="1" applyAlignment="1" applyProtection="1">
      <alignment horizontal="center" vertical="center" wrapText="1"/>
      <protection hidden="1"/>
    </xf>
    <xf numFmtId="0" fontId="68" fillId="6" borderId="13" xfId="0" applyFont="1" applyFill="1" applyBorder="1" applyAlignment="1" applyProtection="1">
      <alignment horizontal="center" vertical="center" wrapText="1"/>
      <protection hidden="1"/>
    </xf>
    <xf numFmtId="0" fontId="68" fillId="0" borderId="25" xfId="0" applyFont="1" applyBorder="1" applyAlignment="1" applyProtection="1">
      <alignment horizontal="center" vertical="center" wrapText="1"/>
      <protection locked="0"/>
    </xf>
    <xf numFmtId="0" fontId="68" fillId="0" borderId="34" xfId="0" applyFont="1" applyBorder="1" applyAlignment="1" applyProtection="1">
      <alignment horizontal="center" vertical="center" wrapText="1"/>
      <protection locked="0"/>
    </xf>
    <xf numFmtId="0" fontId="68" fillId="6" borderId="35" xfId="0" applyFont="1" applyFill="1" applyBorder="1" applyAlignment="1" applyProtection="1">
      <alignment horizontal="center" vertical="center"/>
      <protection hidden="1"/>
    </xf>
    <xf numFmtId="0" fontId="68" fillId="6" borderId="36" xfId="0" applyFont="1" applyFill="1" applyBorder="1" applyAlignment="1" applyProtection="1">
      <alignment horizontal="center" vertical="center"/>
      <protection hidden="1"/>
    </xf>
    <xf numFmtId="0" fontId="68" fillId="6" borderId="13" xfId="0" applyFont="1" applyFill="1" applyBorder="1" applyAlignment="1" applyProtection="1">
      <alignment horizontal="center" vertical="center"/>
      <protection hidden="1"/>
    </xf>
    <xf numFmtId="9" fontId="68" fillId="6" borderId="36" xfId="0" applyNumberFormat="1" applyFont="1" applyFill="1" applyBorder="1" applyAlignment="1" applyProtection="1">
      <alignment horizontal="center" vertical="center"/>
      <protection hidden="1"/>
    </xf>
    <xf numFmtId="0" fontId="68" fillId="0" borderId="53" xfId="0" applyFont="1" applyBorder="1" applyAlignment="1" applyProtection="1">
      <alignment horizontal="center" vertical="center" wrapText="1"/>
      <protection locked="0"/>
    </xf>
    <xf numFmtId="0" fontId="68" fillId="0" borderId="54" xfId="0" applyFont="1" applyBorder="1" applyAlignment="1" applyProtection="1">
      <alignment horizontal="center" vertical="center" wrapText="1"/>
      <protection locked="0"/>
    </xf>
    <xf numFmtId="0" fontId="68" fillId="0" borderId="55" xfId="0" applyFont="1" applyBorder="1" applyAlignment="1" applyProtection="1">
      <alignment horizontal="center" vertical="center" wrapText="1"/>
      <protection locked="0"/>
    </xf>
    <xf numFmtId="0" fontId="74" fillId="0" borderId="0" xfId="0" applyFont="1" applyBorder="1" applyAlignment="1" applyProtection="1">
      <alignment horizontal="center" vertical="center" wrapText="1"/>
      <protection/>
    </xf>
    <xf numFmtId="0" fontId="76" fillId="23" borderId="0" xfId="0" applyFont="1" applyFill="1" applyBorder="1" applyAlignment="1" applyProtection="1">
      <alignment horizontal="center" vertical="center"/>
      <protection/>
    </xf>
    <xf numFmtId="0" fontId="75" fillId="23" borderId="0" xfId="0" applyFont="1" applyFill="1" applyBorder="1" applyAlignment="1" applyProtection="1">
      <alignment horizontal="center" vertical="center"/>
      <protection/>
    </xf>
    <xf numFmtId="0" fontId="12" fillId="6" borderId="0" xfId="0" applyFont="1" applyFill="1" applyBorder="1" applyAlignment="1" applyProtection="1">
      <alignment horizontal="center" vertical="center" wrapText="1"/>
      <protection/>
    </xf>
    <xf numFmtId="0" fontId="18" fillId="6" borderId="0" xfId="0" applyFont="1" applyFill="1" applyBorder="1" applyAlignment="1" applyProtection="1">
      <alignment horizontal="center" vertical="center" wrapText="1"/>
      <protection/>
    </xf>
    <xf numFmtId="0" fontId="16" fillId="45" borderId="0" xfId="0" applyFont="1" applyFill="1" applyBorder="1" applyAlignment="1" applyProtection="1">
      <alignment horizontal="center" vertical="center" wrapText="1"/>
      <protection locked="0"/>
    </xf>
    <xf numFmtId="0" fontId="16" fillId="6" borderId="0" xfId="0" applyFont="1" applyFill="1" applyBorder="1" applyAlignment="1" applyProtection="1">
      <alignment horizontal="center" vertical="center"/>
      <protection hidden="1"/>
    </xf>
    <xf numFmtId="0" fontId="13" fillId="6" borderId="0" xfId="0" applyFont="1" applyFill="1" applyBorder="1" applyAlignment="1" applyProtection="1">
      <alignment horizontal="center"/>
      <protection hidden="1"/>
    </xf>
    <xf numFmtId="0" fontId="68" fillId="0" borderId="36" xfId="0" applyFont="1" applyBorder="1" applyAlignment="1" applyProtection="1">
      <alignment horizontal="left" vertical="center"/>
      <protection locked="0"/>
    </xf>
    <xf numFmtId="0" fontId="68" fillId="0" borderId="36" xfId="0" applyFont="1" applyBorder="1" applyAlignment="1" applyProtection="1">
      <alignment horizontal="justify" vertical="center" wrapText="1"/>
      <protection locked="0"/>
    </xf>
    <xf numFmtId="0" fontId="68" fillId="0" borderId="13" xfId="0" applyFont="1" applyBorder="1" applyAlignment="1" applyProtection="1">
      <alignment horizontal="justify" vertical="center" wrapText="1"/>
      <protection locked="0"/>
    </xf>
    <xf numFmtId="0" fontId="68" fillId="34" borderId="13" xfId="0" applyFont="1" applyFill="1" applyBorder="1" applyAlignment="1" applyProtection="1">
      <alignment horizontal="justify" vertical="center" wrapText="1"/>
      <protection locked="0"/>
    </xf>
    <xf numFmtId="0" fontId="77" fillId="0" borderId="36" xfId="0" applyFont="1" applyBorder="1" applyAlignment="1" applyProtection="1">
      <alignment horizontal="justify" vertical="center"/>
      <protection locked="0"/>
    </xf>
    <xf numFmtId="0" fontId="68" fillId="0" borderId="37" xfId="0" applyFont="1" applyBorder="1" applyAlignment="1" applyProtection="1">
      <alignment horizontal="justify" vertical="center" wrapText="1"/>
      <protection locked="0"/>
    </xf>
    <xf numFmtId="0" fontId="68" fillId="34" borderId="37" xfId="0" applyFont="1" applyFill="1" applyBorder="1" applyAlignment="1" applyProtection="1">
      <alignment horizontal="justify" vertical="center" wrapText="1"/>
      <protection locked="0"/>
    </xf>
    <xf numFmtId="0" fontId="68" fillId="34" borderId="36" xfId="0" applyFont="1" applyFill="1" applyBorder="1" applyAlignment="1" applyProtection="1">
      <alignment horizontal="justify" vertical="center" wrapText="1"/>
      <protection locked="0"/>
    </xf>
    <xf numFmtId="0" fontId="68" fillId="0" borderId="23" xfId="0" applyFont="1" applyBorder="1" applyAlignment="1" applyProtection="1">
      <alignment horizontal="justify" vertical="center" wrapText="1"/>
      <protection locked="0"/>
    </xf>
    <xf numFmtId="0" fontId="68" fillId="6" borderId="55" xfId="0" applyFont="1" applyFill="1" applyBorder="1" applyAlignment="1" applyProtection="1">
      <alignment horizontal="center" vertical="center" wrapText="1"/>
      <protection hidden="1"/>
    </xf>
    <xf numFmtId="0" fontId="68" fillId="0" borderId="56" xfId="0" applyFont="1" applyBorder="1" applyAlignment="1" applyProtection="1">
      <alignment horizontal="center" vertical="center" wrapText="1"/>
      <protection locked="0"/>
    </xf>
    <xf numFmtId="0" fontId="68" fillId="0" borderId="36" xfId="0" applyFont="1" applyBorder="1" applyAlignment="1" applyProtection="1">
      <alignment horizontal="justify" vertical="top"/>
      <protection locked="0"/>
    </xf>
    <xf numFmtId="0" fontId="68" fillId="0" borderId="57"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55" xfId="0" applyFont="1" applyBorder="1" applyAlignment="1" applyProtection="1">
      <alignment horizontal="center" vertical="center" wrapText="1"/>
      <protection locked="0"/>
    </xf>
    <xf numFmtId="0" fontId="0" fillId="0" borderId="35" xfId="0" applyBorder="1" applyAlignment="1" applyProtection="1">
      <alignment vertical="center" wrapText="1"/>
      <protection locked="0"/>
    </xf>
    <xf numFmtId="0" fontId="30" fillId="0" borderId="13" xfId="0" applyFont="1" applyBorder="1" applyAlignment="1" applyProtection="1">
      <alignment horizontal="justify" vertical="center" wrapText="1"/>
      <protection locked="0"/>
    </xf>
    <xf numFmtId="0" fontId="30" fillId="0" borderId="13" xfId="0" applyFont="1" applyBorder="1" applyAlignment="1" applyProtection="1">
      <alignment vertical="center" wrapText="1"/>
      <protection locked="0"/>
    </xf>
    <xf numFmtId="0" fontId="0" fillId="0" borderId="22" xfId="0" applyBorder="1" applyAlignment="1" applyProtection="1">
      <alignment horizontal="center" vertical="center" wrapText="1"/>
      <protection locked="0"/>
    </xf>
    <xf numFmtId="0" fontId="0" fillId="0" borderId="22" xfId="0" applyBorder="1" applyAlignment="1" applyProtection="1">
      <alignment vertical="center" wrapText="1"/>
      <protection locked="0"/>
    </xf>
    <xf numFmtId="0" fontId="68" fillId="0" borderId="36" xfId="0" applyFont="1" applyBorder="1" applyAlignment="1" applyProtection="1">
      <alignment horizontal="left" vertical="center" wrapText="1"/>
      <protection locked="0"/>
    </xf>
    <xf numFmtId="0" fontId="68" fillId="0" borderId="36" xfId="0" applyFont="1" applyBorder="1" applyAlignment="1" applyProtection="1">
      <alignment horizontal="left" vertical="top" wrapText="1"/>
      <protection locked="0"/>
    </xf>
    <xf numFmtId="0" fontId="68" fillId="0" borderId="13"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justify" vertical="center" wrapText="1"/>
      <protection locked="0"/>
    </xf>
    <xf numFmtId="0" fontId="68" fillId="0" borderId="13" xfId="0" applyFont="1" applyFill="1" applyBorder="1" applyAlignment="1" applyProtection="1">
      <alignment vertical="center" wrapText="1"/>
      <protection locked="0"/>
    </xf>
    <xf numFmtId="0" fontId="30" fillId="0" borderId="13" xfId="0" applyFont="1" applyFill="1" applyBorder="1" applyAlignment="1" applyProtection="1">
      <alignment vertical="center" wrapText="1"/>
      <protection locked="0"/>
    </xf>
    <xf numFmtId="0" fontId="68" fillId="0" borderId="37" xfId="0" applyFont="1" applyFill="1" applyBorder="1" applyAlignment="1" applyProtection="1">
      <alignment vertical="center" wrapText="1"/>
      <protection locked="0"/>
    </xf>
    <xf numFmtId="0" fontId="30" fillId="0" borderId="36" xfId="0" applyFont="1" applyFill="1" applyBorder="1" applyAlignment="1" applyProtection="1">
      <alignment horizontal="center" vertical="center" wrapText="1"/>
      <protection locked="0"/>
    </xf>
    <xf numFmtId="0" fontId="18" fillId="0" borderId="34" xfId="0" applyFont="1" applyBorder="1" applyAlignment="1" applyProtection="1">
      <alignment horizontal="center" vertical="center"/>
      <protection locked="0"/>
    </xf>
    <xf numFmtId="0" fontId="68" fillId="0" borderId="36" xfId="0" applyFont="1" applyFill="1" applyBorder="1" applyAlignment="1" applyProtection="1">
      <alignment horizontal="justify" vertical="center"/>
      <protection locked="0"/>
    </xf>
    <xf numFmtId="0" fontId="68" fillId="0" borderId="30" xfId="0" applyFont="1" applyFill="1" applyBorder="1" applyAlignment="1" applyProtection="1">
      <alignment horizontal="center" vertical="center" wrapText="1"/>
      <protection locked="0"/>
    </xf>
    <xf numFmtId="0" fontId="68" fillId="0" borderId="34" xfId="0" applyFont="1" applyFill="1" applyBorder="1" applyAlignment="1" applyProtection="1">
      <alignment horizontal="center" vertical="center" wrapText="1"/>
      <protection locked="0"/>
    </xf>
    <xf numFmtId="0" fontId="68" fillId="0" borderId="36" xfId="0" applyFont="1" applyFill="1" applyBorder="1" applyAlignment="1" applyProtection="1">
      <alignment horizontal="center" vertical="center" wrapText="1"/>
      <protection locked="0"/>
    </xf>
    <xf numFmtId="14" fontId="30" fillId="0" borderId="36" xfId="0" applyNumberFormat="1" applyFont="1" applyFill="1" applyBorder="1" applyAlignment="1" applyProtection="1">
      <alignment horizontal="center" vertical="center" wrapText="1"/>
      <protection locked="0"/>
    </xf>
    <xf numFmtId="0" fontId="68" fillId="0" borderId="35" xfId="0" applyFont="1" applyFill="1" applyBorder="1" applyAlignment="1" applyProtection="1">
      <alignment horizontal="center" vertical="center"/>
      <protection locked="0"/>
    </xf>
    <xf numFmtId="14" fontId="68" fillId="0" borderId="36" xfId="0" applyNumberFormat="1" applyFont="1" applyFill="1" applyBorder="1" applyAlignment="1" applyProtection="1">
      <alignment horizontal="center" vertical="center" wrapText="1"/>
      <protection locked="0"/>
    </xf>
    <xf numFmtId="0" fontId="68" fillId="0" borderId="48" xfId="0" applyFont="1" applyFill="1" applyBorder="1" applyAlignment="1" applyProtection="1">
      <alignment horizontal="center" vertical="center" wrapText="1"/>
      <protection locked="0"/>
    </xf>
    <xf numFmtId="0" fontId="68" fillId="34" borderId="13" xfId="0" applyFont="1" applyFill="1" applyBorder="1" applyAlignment="1" applyProtection="1">
      <alignment horizontal="center" vertical="center" wrapText="1"/>
      <protection locked="0"/>
    </xf>
    <xf numFmtId="0" fontId="30" fillId="34" borderId="13" xfId="0" applyFont="1" applyFill="1" applyBorder="1" applyAlignment="1" applyProtection="1">
      <alignment vertical="center" wrapText="1"/>
      <protection locked="0"/>
    </xf>
    <xf numFmtId="0" fontId="68" fillId="34" borderId="36" xfId="0" applyFont="1" applyFill="1" applyBorder="1" applyAlignment="1" applyProtection="1">
      <alignment horizontal="center" vertical="center" wrapText="1"/>
      <protection locked="0"/>
    </xf>
    <xf numFmtId="0" fontId="68" fillId="34" borderId="36" xfId="0" applyFont="1" applyFill="1" applyBorder="1" applyAlignment="1" applyProtection="1">
      <alignment horizontal="justify" vertical="center"/>
      <protection locked="0"/>
    </xf>
    <xf numFmtId="0" fontId="30" fillId="0" borderId="37" xfId="0" applyFont="1" applyBorder="1" applyAlignment="1" applyProtection="1">
      <alignment vertical="center" wrapText="1"/>
      <protection locked="0"/>
    </xf>
    <xf numFmtId="0" fontId="68" fillId="0" borderId="55" xfId="0" applyFont="1" applyBorder="1" applyAlignment="1" applyProtection="1">
      <alignment vertical="center" wrapText="1"/>
      <protection locked="0"/>
    </xf>
    <xf numFmtId="0" fontId="68" fillId="0" borderId="37" xfId="0" applyFont="1" applyBorder="1" applyAlignment="1" applyProtection="1">
      <alignment vertical="center" wrapText="1"/>
      <protection locked="0"/>
    </xf>
    <xf numFmtId="0" fontId="30" fillId="0" borderId="29" xfId="0" applyFont="1" applyBorder="1" applyAlignment="1" applyProtection="1">
      <alignment vertical="center" wrapText="1"/>
      <protection locked="0"/>
    </xf>
    <xf numFmtId="0" fontId="68" fillId="0" borderId="53" xfId="0" applyFont="1" applyBorder="1" applyAlignment="1" applyProtection="1">
      <alignment vertical="center"/>
      <protection locked="0"/>
    </xf>
    <xf numFmtId="0" fontId="30" fillId="0" borderId="35" xfId="0" applyFont="1" applyBorder="1" applyAlignment="1" applyProtection="1">
      <alignment vertical="center" wrapText="1"/>
      <protection locked="0"/>
    </xf>
    <xf numFmtId="0" fontId="30" fillId="0" borderId="34" xfId="0" applyFont="1" applyBorder="1" applyAlignment="1" applyProtection="1">
      <alignment horizontal="center" vertical="center" wrapText="1"/>
      <protection locked="0"/>
    </xf>
    <xf numFmtId="0" fontId="78" fillId="0" borderId="13" xfId="0" applyFont="1" applyBorder="1" applyAlignment="1" applyProtection="1">
      <alignment horizontal="center" vertical="center"/>
      <protection locked="0"/>
    </xf>
    <xf numFmtId="0" fontId="30" fillId="34" borderId="13" xfId="0" applyFont="1" applyFill="1" applyBorder="1" applyAlignment="1" applyProtection="1">
      <alignment horizontal="justify" vertical="center" wrapText="1"/>
      <protection locked="0"/>
    </xf>
    <xf numFmtId="0" fontId="71" fillId="0" borderId="36"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0" fontId="71" fillId="0" borderId="23" xfId="0" applyFont="1" applyBorder="1" applyAlignment="1" applyProtection="1">
      <alignment horizontal="center" vertical="center"/>
      <protection locked="0"/>
    </xf>
    <xf numFmtId="0" fontId="68" fillId="0" borderId="13" xfId="0" applyFont="1" applyFill="1" applyBorder="1" applyAlignment="1" applyProtection="1">
      <alignment horizontal="justify" vertical="center"/>
      <protection locked="0"/>
    </xf>
    <xf numFmtId="0" fontId="68" fillId="0" borderId="13" xfId="0" applyFont="1" applyBorder="1" applyAlignment="1" applyProtection="1">
      <alignment vertical="center" wrapText="1"/>
      <protection locked="0"/>
    </xf>
    <xf numFmtId="0" fontId="68" fillId="6" borderId="13" xfId="0" applyFont="1" applyFill="1" applyBorder="1" applyAlignment="1" applyProtection="1">
      <alignment vertical="center" wrapText="1"/>
      <protection hidden="1"/>
    </xf>
    <xf numFmtId="0" fontId="68" fillId="0" borderId="13" xfId="0" applyFont="1" applyFill="1" applyBorder="1" applyAlignment="1" applyProtection="1">
      <alignment horizontal="center" vertical="center" wrapText="1"/>
      <protection locked="0"/>
    </xf>
    <xf numFmtId="0" fontId="71" fillId="0" borderId="13" xfId="0" applyFont="1" applyFill="1" applyBorder="1" applyAlignment="1" applyProtection="1">
      <alignment horizontal="center" vertical="center"/>
      <protection locked="0"/>
    </xf>
    <xf numFmtId="0" fontId="68" fillId="0" borderId="13" xfId="0" applyFont="1" applyFill="1" applyBorder="1" applyAlignment="1">
      <alignment horizontal="justify" vertical="center" wrapText="1"/>
    </xf>
    <xf numFmtId="0" fontId="18" fillId="0" borderId="13" xfId="0" applyFont="1" applyFill="1" applyBorder="1" applyAlignment="1" applyProtection="1">
      <alignment horizontal="center" vertical="center"/>
      <protection locked="0"/>
    </xf>
    <xf numFmtId="0" fontId="30" fillId="34" borderId="13" xfId="0" applyFont="1" applyFill="1" applyBorder="1" applyAlignment="1" applyProtection="1">
      <alignment horizontal="center" vertical="center" wrapText="1"/>
      <protection locked="0"/>
    </xf>
    <xf numFmtId="0" fontId="30" fillId="0" borderId="13" xfId="0" applyFont="1" applyFill="1" applyBorder="1" applyAlignment="1">
      <alignment horizontal="justify" vertical="center" wrapText="1"/>
    </xf>
    <xf numFmtId="0" fontId="30" fillId="0" borderId="13" xfId="0" applyFont="1" applyBorder="1" applyAlignment="1" applyProtection="1">
      <alignment horizontal="justify" vertical="center"/>
      <protection locked="0"/>
    </xf>
    <xf numFmtId="0" fontId="30" fillId="0" borderId="13" xfId="0" applyFont="1" applyBorder="1" applyAlignment="1" applyProtection="1">
      <alignment horizontal="center" vertical="center" wrapText="1"/>
      <protection locked="0"/>
    </xf>
    <xf numFmtId="0" fontId="77" fillId="0" borderId="13" xfId="0" applyFont="1" applyBorder="1" applyAlignment="1" applyProtection="1">
      <alignment horizontal="center" vertical="center"/>
      <protection locked="0"/>
    </xf>
    <xf numFmtId="0" fontId="77" fillId="0" borderId="13" xfId="0" applyFont="1" applyBorder="1" applyAlignment="1" applyProtection="1">
      <alignment horizontal="center" vertical="center" wrapText="1"/>
      <protection locked="0"/>
    </xf>
    <xf numFmtId="14" fontId="77" fillId="0" borderId="13" xfId="0" applyNumberFormat="1" applyFont="1" applyBorder="1" applyAlignment="1" applyProtection="1">
      <alignment horizontal="center" vertical="center" wrapText="1"/>
      <protection locked="0"/>
    </xf>
    <xf numFmtId="0" fontId="68" fillId="6" borderId="13" xfId="0" applyFont="1" applyFill="1" applyBorder="1" applyAlignment="1" applyProtection="1">
      <alignment horizontal="left" vertical="center" wrapText="1"/>
      <protection hidden="1"/>
    </xf>
    <xf numFmtId="0" fontId="30" fillId="0" borderId="13" xfId="0" applyFont="1" applyFill="1" applyBorder="1" applyAlignment="1" applyProtection="1">
      <alignment horizontal="left" vertical="center" wrapText="1"/>
      <protection locked="0"/>
    </xf>
    <xf numFmtId="0" fontId="68" fillId="0" borderId="36" xfId="0" applyFont="1" applyFill="1" applyBorder="1" applyAlignment="1" applyProtection="1">
      <alignment horizontal="justify" vertical="center" wrapText="1"/>
      <protection locked="0"/>
    </xf>
    <xf numFmtId="0" fontId="16" fillId="0" borderId="43" xfId="0" applyFont="1" applyFill="1" applyBorder="1" applyAlignment="1" applyProtection="1">
      <alignment horizontal="center" vertical="center" wrapText="1"/>
      <protection locked="0"/>
    </xf>
    <xf numFmtId="0" fontId="30" fillId="0" borderId="36" xfId="0" applyFont="1" applyBorder="1" applyAlignment="1" applyProtection="1">
      <alignment horizontal="justify" vertical="center" wrapText="1"/>
      <protection locked="0"/>
    </xf>
    <xf numFmtId="3" fontId="30" fillId="0" borderId="34" xfId="0" applyNumberFormat="1" applyFont="1" applyBorder="1" applyAlignment="1" applyProtection="1">
      <alignment horizontal="center" vertical="center" wrapText="1"/>
      <protection locked="0"/>
    </xf>
    <xf numFmtId="0" fontId="78" fillId="0" borderId="34"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protection locked="0"/>
    </xf>
    <xf numFmtId="0" fontId="78" fillId="0" borderId="25" xfId="0" applyFont="1" applyFill="1" applyBorder="1" applyAlignment="1" applyProtection="1">
      <alignment horizontal="center" vertical="center"/>
      <protection locked="0"/>
    </xf>
    <xf numFmtId="0" fontId="78" fillId="0" borderId="13" xfId="0" applyFont="1" applyFill="1" applyBorder="1" applyAlignment="1" applyProtection="1">
      <alignment horizontal="center" vertical="center"/>
      <protection locked="0"/>
    </xf>
    <xf numFmtId="0" fontId="68" fillId="0" borderId="53" xfId="0" applyFont="1" applyBorder="1" applyAlignment="1" applyProtection="1">
      <alignment horizontal="center" vertical="center" wrapText="1"/>
      <protection locked="0"/>
    </xf>
    <xf numFmtId="0" fontId="68" fillId="0" borderId="58" xfId="0" applyFont="1" applyBorder="1" applyAlignment="1" applyProtection="1">
      <alignment horizontal="center" vertical="center" wrapText="1"/>
      <protection locked="0"/>
    </xf>
    <xf numFmtId="0" fontId="68" fillId="0" borderId="54" xfId="0" applyFont="1" applyBorder="1" applyAlignment="1" applyProtection="1">
      <alignment horizontal="center" vertical="center" wrapText="1"/>
      <protection locked="0"/>
    </xf>
    <xf numFmtId="0" fontId="68" fillId="0" borderId="17" xfId="0" applyFont="1" applyBorder="1" applyAlignment="1" applyProtection="1">
      <alignment horizontal="center" vertical="center" wrapText="1"/>
      <protection locked="0"/>
    </xf>
    <xf numFmtId="0" fontId="78" fillId="0" borderId="34" xfId="0" applyFont="1" applyFill="1" applyBorder="1" applyAlignment="1" applyProtection="1">
      <alignment horizontal="center" vertical="center"/>
      <protection locked="0"/>
    </xf>
    <xf numFmtId="0" fontId="78" fillId="0" borderId="25" xfId="0" applyFont="1" applyFill="1" applyBorder="1" applyAlignment="1" applyProtection="1">
      <alignment horizontal="center" vertical="center"/>
      <protection locked="0"/>
    </xf>
    <xf numFmtId="0" fontId="68" fillId="0" borderId="36" xfId="0" applyFont="1" applyBorder="1" applyAlignment="1" applyProtection="1">
      <alignment horizontal="center" vertical="center" wrapText="1"/>
      <protection locked="0"/>
    </xf>
    <xf numFmtId="0" fontId="68" fillId="0" borderId="13" xfId="0" applyFont="1" applyBorder="1" applyAlignment="1" applyProtection="1">
      <alignment horizontal="center" vertical="center" wrapText="1"/>
      <protection locked="0"/>
    </xf>
    <xf numFmtId="0" fontId="68" fillId="0" borderId="36" xfId="0" applyFont="1" applyBorder="1" applyAlignment="1" applyProtection="1">
      <alignment horizontal="justify" vertical="center" wrapText="1"/>
      <protection locked="0"/>
    </xf>
    <xf numFmtId="0" fontId="68" fillId="0" borderId="13" xfId="0" applyFont="1" applyBorder="1" applyAlignment="1" applyProtection="1">
      <alignment horizontal="justify" vertical="center" wrapText="1"/>
      <protection locked="0"/>
    </xf>
    <xf numFmtId="0" fontId="68" fillId="6" borderId="36" xfId="0" applyFont="1" applyFill="1" applyBorder="1" applyAlignment="1" applyProtection="1">
      <alignment horizontal="justify" vertical="center" wrapText="1"/>
      <protection hidden="1"/>
    </xf>
    <xf numFmtId="0" fontId="68" fillId="6" borderId="13" xfId="0" applyFont="1" applyFill="1" applyBorder="1" applyAlignment="1" applyProtection="1">
      <alignment horizontal="justify" vertical="center" wrapText="1"/>
      <protection hidden="1"/>
    </xf>
    <xf numFmtId="0" fontId="68" fillId="0" borderId="55" xfId="0" applyFont="1" applyBorder="1" applyAlignment="1" applyProtection="1">
      <alignment horizontal="center" vertical="center" wrapText="1"/>
      <protection locked="0"/>
    </xf>
    <xf numFmtId="0" fontId="68" fillId="0" borderId="41" xfId="0" applyFont="1" applyBorder="1" applyAlignment="1" applyProtection="1">
      <alignment horizontal="center" vertical="center" wrapText="1"/>
      <protection locked="0"/>
    </xf>
    <xf numFmtId="0" fontId="68" fillId="0" borderId="35" xfId="0" applyFont="1" applyBorder="1" applyAlignment="1" applyProtection="1">
      <alignment horizontal="center" vertical="center" wrapText="1"/>
      <protection locked="0"/>
    </xf>
    <xf numFmtId="0" fontId="68" fillId="0" borderId="22" xfId="0" applyFont="1" applyBorder="1" applyAlignment="1" applyProtection="1">
      <alignment horizontal="center" vertical="center" wrapText="1"/>
      <protection locked="0"/>
    </xf>
    <xf numFmtId="0" fontId="68" fillId="0" borderId="34" xfId="0" applyFont="1" applyBorder="1" applyAlignment="1" applyProtection="1">
      <alignment horizontal="center" vertical="center" wrapText="1"/>
      <protection locked="0"/>
    </xf>
    <xf numFmtId="0" fontId="68" fillId="0" borderId="25" xfId="0" applyFont="1" applyBorder="1" applyAlignment="1" applyProtection="1">
      <alignment horizontal="center" vertical="center" wrapText="1"/>
      <protection locked="0"/>
    </xf>
    <xf numFmtId="0" fontId="68" fillId="6" borderId="36" xfId="0" applyFont="1" applyFill="1" applyBorder="1" applyAlignment="1" applyProtection="1">
      <alignment horizontal="center" vertical="center"/>
      <protection hidden="1"/>
    </xf>
    <xf numFmtId="0" fontId="68" fillId="6" borderId="13" xfId="0" applyFont="1" applyFill="1" applyBorder="1" applyAlignment="1" applyProtection="1">
      <alignment horizontal="center" vertical="center"/>
      <protection hidden="1"/>
    </xf>
    <xf numFmtId="9" fontId="68" fillId="6" borderId="36" xfId="0" applyNumberFormat="1" applyFont="1" applyFill="1" applyBorder="1" applyAlignment="1" applyProtection="1">
      <alignment horizontal="center" vertical="center" wrapText="1"/>
      <protection hidden="1"/>
    </xf>
    <xf numFmtId="9" fontId="68" fillId="6" borderId="13" xfId="0" applyNumberFormat="1" applyFont="1" applyFill="1" applyBorder="1" applyAlignment="1" applyProtection="1">
      <alignment horizontal="center" vertical="center" wrapText="1"/>
      <protection hidden="1"/>
    </xf>
    <xf numFmtId="9" fontId="68" fillId="6" borderId="36" xfId="0" applyNumberFormat="1" applyFont="1" applyFill="1" applyBorder="1" applyAlignment="1" applyProtection="1">
      <alignment horizontal="center" vertical="center"/>
      <protection hidden="1"/>
    </xf>
    <xf numFmtId="9" fontId="68" fillId="6" borderId="13" xfId="0" applyNumberFormat="1" applyFont="1" applyFill="1" applyBorder="1" applyAlignment="1" applyProtection="1">
      <alignment horizontal="center" vertical="center"/>
      <protection hidden="1"/>
    </xf>
    <xf numFmtId="0" fontId="68" fillId="6" borderId="35" xfId="0" applyFont="1" applyFill="1" applyBorder="1" applyAlignment="1" applyProtection="1">
      <alignment horizontal="center" vertical="center"/>
      <protection hidden="1"/>
    </xf>
    <xf numFmtId="0" fontId="68" fillId="6" borderId="22" xfId="0" applyFont="1" applyFill="1" applyBorder="1" applyAlignment="1" applyProtection="1">
      <alignment horizontal="center" vertical="center"/>
      <protection hidden="1"/>
    </xf>
    <xf numFmtId="0" fontId="68" fillId="0" borderId="37" xfId="0" applyFont="1" applyBorder="1" applyAlignment="1" applyProtection="1">
      <alignment horizontal="center" vertical="center" wrapText="1"/>
      <protection locked="0"/>
    </xf>
    <xf numFmtId="0" fontId="68" fillId="0" borderId="29" xfId="0" applyFont="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68" fillId="0" borderId="37" xfId="0" applyFont="1" applyFill="1" applyBorder="1" applyAlignment="1" applyProtection="1">
      <alignment horizontal="center" vertical="center" wrapText="1"/>
      <protection locked="0"/>
    </xf>
    <xf numFmtId="0" fontId="68" fillId="0" borderId="29" xfId="0" applyFont="1" applyFill="1" applyBorder="1" applyAlignment="1" applyProtection="1">
      <alignment horizontal="center" vertical="center" wrapText="1"/>
      <protection locked="0"/>
    </xf>
    <xf numFmtId="0" fontId="78" fillId="0" borderId="37" xfId="0" applyFont="1" applyFill="1" applyBorder="1" applyAlignment="1" applyProtection="1">
      <alignment horizontal="center" vertical="center"/>
      <protection locked="0"/>
    </xf>
    <xf numFmtId="0" fontId="78" fillId="0" borderId="29" xfId="0" applyFont="1" applyFill="1" applyBorder="1" applyAlignment="1" applyProtection="1">
      <alignment horizontal="center" vertical="center"/>
      <protection locked="0"/>
    </xf>
    <xf numFmtId="0" fontId="68" fillId="6" borderId="37" xfId="0" applyFont="1" applyFill="1" applyBorder="1" applyAlignment="1" applyProtection="1">
      <alignment horizontal="center" vertical="center" wrapText="1"/>
      <protection hidden="1"/>
    </xf>
    <xf numFmtId="0" fontId="68" fillId="6" borderId="29" xfId="0" applyFont="1" applyFill="1" applyBorder="1" applyAlignment="1" applyProtection="1">
      <alignment horizontal="center" vertical="center" wrapText="1"/>
      <protection hidden="1"/>
    </xf>
    <xf numFmtId="0" fontId="30" fillId="0" borderId="37" xfId="0" applyFont="1" applyBorder="1" applyAlignment="1" applyProtection="1">
      <alignment horizontal="center" vertical="center" wrapText="1"/>
      <protection locked="0"/>
    </xf>
    <xf numFmtId="0" fontId="30" fillId="0" borderId="29" xfId="0" applyFont="1" applyBorder="1" applyAlignment="1" applyProtection="1">
      <alignment horizontal="center" vertical="center" wrapText="1"/>
      <protection locked="0"/>
    </xf>
    <xf numFmtId="0" fontId="78" fillId="0" borderId="26" xfId="0" applyFont="1" applyFill="1" applyBorder="1" applyAlignment="1" applyProtection="1">
      <alignment horizontal="center" vertical="center"/>
      <protection locked="0"/>
    </xf>
    <xf numFmtId="0" fontId="68" fillId="0" borderId="23" xfId="0" applyFont="1" applyBorder="1" applyAlignment="1" applyProtection="1">
      <alignment horizontal="center" vertical="center" wrapText="1"/>
      <protection locked="0"/>
    </xf>
    <xf numFmtId="0" fontId="68" fillId="6" borderId="36" xfId="0" applyFont="1" applyFill="1" applyBorder="1" applyAlignment="1" applyProtection="1">
      <alignment horizontal="center" vertical="center" wrapText="1"/>
      <protection hidden="1"/>
    </xf>
    <xf numFmtId="0" fontId="68" fillId="6" borderId="13" xfId="0" applyFont="1" applyFill="1" applyBorder="1" applyAlignment="1" applyProtection="1">
      <alignment horizontal="center" vertical="center" wrapText="1"/>
      <protection hidden="1"/>
    </xf>
    <xf numFmtId="0" fontId="30" fillId="0" borderId="13" xfId="0"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68" fillId="0" borderId="27" xfId="0" applyFont="1" applyBorder="1" applyAlignment="1" applyProtection="1">
      <alignment horizontal="center" vertical="center" wrapText="1"/>
      <protection locked="0"/>
    </xf>
    <xf numFmtId="0" fontId="68" fillId="0" borderId="13" xfId="0" applyFont="1" applyFill="1" applyBorder="1" applyAlignment="1" applyProtection="1">
      <alignment horizontal="justify" vertical="center" wrapText="1"/>
      <protection locked="0"/>
    </xf>
    <xf numFmtId="14" fontId="68" fillId="0" borderId="13" xfId="0" applyNumberFormat="1" applyFont="1" applyBorder="1" applyAlignment="1" applyProtection="1">
      <alignment horizontal="center" vertical="center" wrapText="1"/>
      <protection locked="0"/>
    </xf>
    <xf numFmtId="0" fontId="68" fillId="0" borderId="13" xfId="0" applyFont="1" applyFill="1" applyBorder="1" applyAlignment="1" applyProtection="1">
      <alignment horizontal="center" vertical="center" wrapText="1"/>
      <protection locked="0"/>
    </xf>
    <xf numFmtId="0" fontId="78" fillId="0" borderId="13" xfId="0" applyFont="1" applyFill="1" applyBorder="1" applyAlignment="1" applyProtection="1">
      <alignment horizontal="center" vertical="center"/>
      <protection locked="0"/>
    </xf>
    <xf numFmtId="0" fontId="30" fillId="0" borderId="39" xfId="0" applyFont="1" applyBorder="1" applyAlignment="1" applyProtection="1">
      <alignment horizontal="center" vertical="center" wrapText="1"/>
      <protection locked="0"/>
    </xf>
    <xf numFmtId="0" fontId="30" fillId="0" borderId="40"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68" fillId="0" borderId="59" xfId="0" applyFont="1" applyBorder="1" applyAlignment="1" applyProtection="1">
      <alignment horizontal="center" vertical="center" wrapText="1"/>
      <protection locked="0"/>
    </xf>
    <xf numFmtId="0" fontId="68" fillId="0" borderId="60" xfId="0" applyFont="1" applyBorder="1" applyAlignment="1" applyProtection="1">
      <alignment horizontal="center" vertical="center" wrapText="1"/>
      <protection locked="0"/>
    </xf>
    <xf numFmtId="0" fontId="0" fillId="0" borderId="57" xfId="0" applyBorder="1" applyAlignment="1" applyProtection="1">
      <alignment horizontal="center"/>
      <protection locked="0"/>
    </xf>
    <xf numFmtId="0" fontId="0" fillId="0" borderId="44" xfId="0" applyBorder="1" applyAlignment="1" applyProtection="1">
      <alignment horizontal="center"/>
      <protection locked="0"/>
    </xf>
    <xf numFmtId="0" fontId="68" fillId="0" borderId="53" xfId="0" applyFont="1" applyFill="1" applyBorder="1" applyAlignment="1" applyProtection="1">
      <alignment horizontal="center" vertical="center"/>
      <protection locked="0"/>
    </xf>
    <xf numFmtId="0" fontId="68" fillId="0" borderId="61" xfId="0" applyFont="1" applyFill="1" applyBorder="1" applyAlignment="1" applyProtection="1">
      <alignment horizontal="center" vertical="center"/>
      <protection locked="0"/>
    </xf>
    <xf numFmtId="14" fontId="30" fillId="0" borderId="56" xfId="0" applyNumberFormat="1" applyFont="1" applyFill="1" applyBorder="1" applyAlignment="1" applyProtection="1">
      <alignment horizontal="center" vertical="center" wrapText="1"/>
      <protection locked="0"/>
    </xf>
    <xf numFmtId="14" fontId="30" fillId="0" borderId="62" xfId="0" applyNumberFormat="1" applyFont="1" applyFill="1" applyBorder="1" applyAlignment="1" applyProtection="1">
      <alignment horizontal="center" vertical="center" wrapText="1"/>
      <protection locked="0"/>
    </xf>
    <xf numFmtId="0" fontId="30" fillId="0" borderId="53"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wrapText="1"/>
      <protection locked="0"/>
    </xf>
    <xf numFmtId="0" fontId="78" fillId="0" borderId="56" xfId="0" applyFont="1" applyFill="1" applyBorder="1" applyAlignment="1" applyProtection="1">
      <alignment horizontal="center" vertical="center"/>
      <protection locked="0"/>
    </xf>
    <xf numFmtId="0" fontId="78" fillId="0" borderId="62" xfId="0" applyFont="1" applyFill="1" applyBorder="1" applyAlignment="1" applyProtection="1">
      <alignment horizontal="center" vertical="center"/>
      <protection locked="0"/>
    </xf>
    <xf numFmtId="0" fontId="68" fillId="0" borderId="63" xfId="0" applyFont="1" applyBorder="1" applyAlignment="1" applyProtection="1">
      <alignment horizontal="center" vertical="center" wrapText="1"/>
      <protection locked="0"/>
    </xf>
    <xf numFmtId="0" fontId="68" fillId="6" borderId="55" xfId="0" applyFont="1" applyFill="1" applyBorder="1" applyAlignment="1" applyProtection="1">
      <alignment horizontal="center" vertical="center" wrapText="1"/>
      <protection hidden="1"/>
    </xf>
    <xf numFmtId="0" fontId="68" fillId="6" borderId="63" xfId="0" applyFont="1" applyFill="1" applyBorder="1" applyAlignment="1" applyProtection="1">
      <alignment horizontal="center" vertical="center" wrapText="1"/>
      <protection hidden="1"/>
    </xf>
    <xf numFmtId="0" fontId="30" fillId="0" borderId="55" xfId="0" applyFont="1" applyBorder="1" applyAlignment="1" applyProtection="1">
      <alignment horizontal="center" vertical="center" wrapText="1"/>
      <protection locked="0"/>
    </xf>
    <xf numFmtId="0" fontId="30" fillId="0" borderId="63" xfId="0" applyFont="1" applyBorder="1" applyAlignment="1" applyProtection="1">
      <alignment horizontal="center" vertical="center" wrapText="1"/>
      <protection locked="0"/>
    </xf>
    <xf numFmtId="0" fontId="30" fillId="0" borderId="57" xfId="0" applyFont="1" applyFill="1" applyBorder="1" applyAlignment="1" applyProtection="1">
      <alignment horizontal="center" vertical="center" wrapText="1"/>
      <protection locked="0"/>
    </xf>
    <xf numFmtId="0" fontId="30" fillId="0" borderId="64" xfId="0" applyFont="1" applyFill="1" applyBorder="1" applyAlignment="1" applyProtection="1">
      <alignment horizontal="center" vertical="center" wrapText="1"/>
      <protection locked="0"/>
    </xf>
    <xf numFmtId="0" fontId="68" fillId="0" borderId="55" xfId="0" applyFont="1" applyFill="1" applyBorder="1" applyAlignment="1" applyProtection="1">
      <alignment horizontal="center" vertical="center" wrapText="1"/>
      <protection locked="0"/>
    </xf>
    <xf numFmtId="0" fontId="68" fillId="0" borderId="63" xfId="0" applyFont="1" applyFill="1" applyBorder="1" applyAlignment="1" applyProtection="1">
      <alignment horizontal="center" vertical="center" wrapText="1"/>
      <protection locked="0"/>
    </xf>
    <xf numFmtId="0" fontId="30" fillId="0" borderId="56" xfId="0" applyFont="1" applyBorder="1" applyAlignment="1" applyProtection="1">
      <alignment horizontal="center" vertical="center" wrapText="1"/>
      <protection locked="0"/>
    </xf>
    <xf numFmtId="0" fontId="30" fillId="0" borderId="65" xfId="0" applyFont="1" applyBorder="1" applyAlignment="1" applyProtection="1">
      <alignment horizontal="center" vertical="center" wrapText="1"/>
      <protection locked="0"/>
    </xf>
    <xf numFmtId="0" fontId="30" fillId="0" borderId="52" xfId="0" applyFont="1" applyBorder="1" applyAlignment="1" applyProtection="1">
      <alignment horizontal="center" vertical="center" wrapText="1"/>
      <protection locked="0"/>
    </xf>
    <xf numFmtId="14" fontId="68" fillId="0" borderId="55" xfId="0" applyNumberFormat="1" applyFont="1" applyBorder="1" applyAlignment="1" applyProtection="1">
      <alignment horizontal="center" vertical="center" wrapText="1"/>
      <protection locked="0"/>
    </xf>
    <xf numFmtId="14" fontId="68" fillId="0" borderId="41" xfId="0" applyNumberFormat="1" applyFont="1" applyBorder="1" applyAlignment="1" applyProtection="1">
      <alignment horizontal="center" vertical="center" wrapText="1"/>
      <protection locked="0"/>
    </xf>
    <xf numFmtId="14" fontId="68" fillId="0" borderId="29" xfId="0" applyNumberFormat="1" applyFont="1" applyBorder="1" applyAlignment="1" applyProtection="1">
      <alignment horizontal="center" vertical="center" wrapText="1"/>
      <protection locked="0"/>
    </xf>
    <xf numFmtId="0" fontId="68" fillId="34" borderId="36" xfId="0" applyFont="1" applyFill="1" applyBorder="1" applyAlignment="1" applyProtection="1">
      <alignment horizontal="center" vertical="center" wrapText="1"/>
      <protection locked="0"/>
    </xf>
    <xf numFmtId="0" fontId="68" fillId="34" borderId="13"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xf>
    <xf numFmtId="0" fontId="68" fillId="0" borderId="13" xfId="0" applyFont="1" applyBorder="1" applyAlignment="1" applyProtection="1">
      <alignment horizontal="center" vertical="center" wrapText="1"/>
      <protection/>
    </xf>
    <xf numFmtId="0" fontId="71" fillId="44" borderId="34" xfId="0" applyFont="1" applyFill="1" applyBorder="1" applyAlignment="1" applyProtection="1">
      <alignment horizontal="center" vertical="center" wrapText="1"/>
      <protection/>
    </xf>
    <xf numFmtId="0" fontId="71" fillId="44" borderId="66" xfId="0" applyFont="1" applyFill="1" applyBorder="1" applyAlignment="1" applyProtection="1">
      <alignment horizontal="center" vertical="center" wrapText="1"/>
      <protection/>
    </xf>
    <xf numFmtId="0" fontId="71" fillId="44" borderId="34" xfId="0" applyFont="1" applyFill="1" applyBorder="1" applyAlignment="1" applyProtection="1">
      <alignment horizontal="center" vertical="center" textRotation="90" wrapText="1"/>
      <protection/>
    </xf>
    <xf numFmtId="0" fontId="71" fillId="44" borderId="66" xfId="0" applyFont="1" applyFill="1" applyBorder="1" applyAlignment="1" applyProtection="1">
      <alignment horizontal="center" vertical="center" textRotation="90" wrapText="1"/>
      <protection/>
    </xf>
    <xf numFmtId="0" fontId="71" fillId="44" borderId="36" xfId="0" applyFont="1" applyFill="1" applyBorder="1" applyAlignment="1" applyProtection="1">
      <alignment horizontal="center" vertical="center" wrapText="1"/>
      <protection/>
    </xf>
    <xf numFmtId="0" fontId="71" fillId="44" borderId="37" xfId="0" applyFont="1" applyFill="1" applyBorder="1" applyAlignment="1" applyProtection="1">
      <alignment horizontal="center" vertical="center" wrapText="1"/>
      <protection/>
    </xf>
    <xf numFmtId="0" fontId="71" fillId="6" borderId="36" xfId="0" applyFont="1" applyFill="1" applyBorder="1" applyAlignment="1" applyProtection="1">
      <alignment horizontal="center" vertical="center" wrapText="1"/>
      <protection/>
    </xf>
    <xf numFmtId="0" fontId="71" fillId="6" borderId="37" xfId="0" applyFont="1" applyFill="1" applyBorder="1" applyAlignment="1" applyProtection="1">
      <alignment horizontal="center" vertical="center" wrapText="1"/>
      <protection/>
    </xf>
    <xf numFmtId="0" fontId="71" fillId="6" borderId="35" xfId="0" applyFont="1" applyFill="1" applyBorder="1" applyAlignment="1" applyProtection="1">
      <alignment horizontal="center" vertical="center" textRotation="90" wrapText="1"/>
      <protection/>
    </xf>
    <xf numFmtId="0" fontId="71" fillId="6" borderId="38" xfId="0" applyFont="1" applyFill="1" applyBorder="1" applyAlignment="1" applyProtection="1">
      <alignment horizontal="center" vertical="center" textRotation="90" wrapText="1"/>
      <protection/>
    </xf>
    <xf numFmtId="0" fontId="74" fillId="0" borderId="60" xfId="0" applyFont="1" applyBorder="1" applyAlignment="1" applyProtection="1">
      <alignment horizontal="left" vertical="center" wrapText="1"/>
      <protection/>
    </xf>
    <xf numFmtId="0" fontId="74" fillId="0" borderId="67" xfId="0" applyFont="1" applyBorder="1" applyAlignment="1" applyProtection="1">
      <alignment horizontal="left" vertical="center" wrapText="1"/>
      <protection/>
    </xf>
    <xf numFmtId="0" fontId="74" fillId="0" borderId="40" xfId="0" applyFont="1" applyBorder="1" applyAlignment="1" applyProtection="1">
      <alignment horizontal="left" vertical="center" wrapText="1"/>
      <protection/>
    </xf>
    <xf numFmtId="0" fontId="72" fillId="23" borderId="42" xfId="0" applyFont="1" applyFill="1" applyBorder="1" applyAlignment="1" applyProtection="1">
      <alignment horizontal="center" vertical="center"/>
      <protection/>
    </xf>
    <xf numFmtId="0" fontId="72" fillId="23" borderId="33" xfId="0" applyFont="1" applyFill="1" applyBorder="1" applyAlignment="1" applyProtection="1">
      <alignment horizontal="center" vertical="center"/>
      <protection/>
    </xf>
    <xf numFmtId="0" fontId="72" fillId="23" borderId="28" xfId="0" applyFont="1" applyFill="1" applyBorder="1" applyAlignment="1" applyProtection="1">
      <alignment horizontal="center" vertical="center"/>
      <protection/>
    </xf>
    <xf numFmtId="0" fontId="72" fillId="23" borderId="68" xfId="0" applyFont="1" applyFill="1" applyBorder="1" applyAlignment="1" applyProtection="1">
      <alignment horizontal="center" vertical="center"/>
      <protection/>
    </xf>
    <xf numFmtId="0" fontId="72" fillId="23" borderId="69" xfId="0" applyFont="1" applyFill="1" applyBorder="1" applyAlignment="1" applyProtection="1">
      <alignment horizontal="center" vertical="center"/>
      <protection/>
    </xf>
    <xf numFmtId="0" fontId="72" fillId="23" borderId="70" xfId="0" applyFont="1" applyFill="1" applyBorder="1" applyAlignment="1" applyProtection="1">
      <alignment horizontal="center" vertical="center"/>
      <protection/>
    </xf>
    <xf numFmtId="0" fontId="72" fillId="23" borderId="71" xfId="0" applyFont="1" applyFill="1" applyBorder="1" applyAlignment="1" applyProtection="1">
      <alignment horizontal="center" vertical="center"/>
      <protection/>
    </xf>
    <xf numFmtId="0" fontId="71" fillId="44" borderId="35" xfId="0" applyFont="1" applyFill="1" applyBorder="1" applyAlignment="1" applyProtection="1">
      <alignment horizontal="center" vertical="center" wrapText="1"/>
      <protection/>
    </xf>
    <xf numFmtId="0" fontId="71" fillId="44" borderId="38" xfId="0" applyFont="1" applyFill="1" applyBorder="1" applyAlignment="1" applyProtection="1">
      <alignment horizontal="center" vertical="center" wrapText="1"/>
      <protection/>
    </xf>
    <xf numFmtId="0" fontId="71" fillId="6" borderId="36" xfId="0" applyFont="1" applyFill="1" applyBorder="1" applyAlignment="1" applyProtection="1">
      <alignment horizontal="center" vertical="center" textRotation="90" wrapText="1"/>
      <protection/>
    </xf>
    <xf numFmtId="0" fontId="71" fillId="6" borderId="37" xfId="0" applyFont="1" applyFill="1" applyBorder="1" applyAlignment="1" applyProtection="1">
      <alignment horizontal="center" vertical="center" textRotation="90" wrapText="1"/>
      <protection/>
    </xf>
    <xf numFmtId="0" fontId="71" fillId="44" borderId="35" xfId="0" applyFont="1" applyFill="1" applyBorder="1" applyAlignment="1" applyProtection="1">
      <alignment horizontal="center" vertical="center" textRotation="90" wrapText="1"/>
      <protection/>
    </xf>
    <xf numFmtId="0" fontId="71" fillId="44" borderId="38" xfId="0" applyFont="1" applyFill="1" applyBorder="1" applyAlignment="1" applyProtection="1">
      <alignment horizontal="center" vertical="center" textRotation="90" wrapText="1"/>
      <protection/>
    </xf>
    <xf numFmtId="0" fontId="71" fillId="6" borderId="39" xfId="0" applyFont="1" applyFill="1" applyBorder="1" applyAlignment="1" applyProtection="1">
      <alignment horizontal="center" vertical="center" textRotation="90" wrapText="1"/>
      <protection/>
    </xf>
    <xf numFmtId="0" fontId="71" fillId="6" borderId="72" xfId="0" applyFont="1" applyFill="1" applyBorder="1" applyAlignment="1" applyProtection="1">
      <alignment horizontal="center" vertical="center" textRotation="90" wrapText="1"/>
      <protection/>
    </xf>
    <xf numFmtId="0" fontId="71" fillId="44" borderId="55" xfId="0" applyFont="1" applyFill="1" applyBorder="1" applyAlignment="1" applyProtection="1">
      <alignment horizontal="center" vertical="center" wrapText="1"/>
      <protection/>
    </xf>
    <xf numFmtId="0" fontId="71" fillId="44" borderId="41" xfId="0" applyFont="1" applyFill="1" applyBorder="1" applyAlignment="1" applyProtection="1">
      <alignment horizontal="center" vertical="center" wrapText="1"/>
      <protection/>
    </xf>
    <xf numFmtId="0" fontId="71" fillId="44" borderId="59" xfId="0" applyFont="1" applyFill="1" applyBorder="1" applyAlignment="1" applyProtection="1">
      <alignment horizontal="center" vertical="center" wrapText="1"/>
      <protection/>
    </xf>
    <xf numFmtId="0" fontId="71" fillId="44" borderId="39" xfId="0" applyFont="1" applyFill="1" applyBorder="1" applyAlignment="1" applyProtection="1">
      <alignment horizontal="center" vertical="center" wrapText="1"/>
      <protection/>
    </xf>
    <xf numFmtId="0" fontId="71" fillId="44" borderId="54" xfId="0" applyFont="1" applyFill="1" applyBorder="1" applyAlignment="1" applyProtection="1">
      <alignment horizontal="center" vertical="center" wrapText="1"/>
      <protection/>
    </xf>
    <xf numFmtId="0" fontId="71" fillId="44" borderId="17" xfId="0" applyFont="1" applyFill="1" applyBorder="1" applyAlignment="1" applyProtection="1">
      <alignment horizontal="center" vertical="center" wrapText="1"/>
      <protection/>
    </xf>
    <xf numFmtId="0" fontId="17" fillId="6" borderId="42" xfId="0" applyFont="1" applyFill="1" applyBorder="1" applyAlignment="1" applyProtection="1">
      <alignment horizontal="left" vertical="center" wrapText="1"/>
      <protection/>
    </xf>
    <xf numFmtId="0" fontId="17" fillId="6" borderId="33" xfId="0" applyFont="1" applyFill="1" applyBorder="1" applyAlignment="1" applyProtection="1">
      <alignment horizontal="left" vertical="center" wrapText="1"/>
      <protection/>
    </xf>
    <xf numFmtId="0" fontId="17" fillId="6" borderId="28" xfId="0" applyFont="1" applyFill="1" applyBorder="1" applyAlignment="1" applyProtection="1">
      <alignment horizontal="left" vertical="center" wrapText="1"/>
      <protection/>
    </xf>
    <xf numFmtId="0" fontId="18" fillId="6" borderId="73" xfId="0" applyFont="1" applyFill="1" applyBorder="1" applyAlignment="1" applyProtection="1">
      <alignment horizontal="left" vertical="center" wrapText="1"/>
      <protection/>
    </xf>
    <xf numFmtId="0" fontId="18" fillId="6" borderId="74" xfId="0" applyFont="1" applyFill="1" applyBorder="1" applyAlignment="1" applyProtection="1">
      <alignment horizontal="left" vertical="center" wrapText="1"/>
      <protection/>
    </xf>
    <xf numFmtId="0" fontId="18" fillId="6" borderId="75" xfId="0" applyFont="1" applyFill="1" applyBorder="1" applyAlignment="1" applyProtection="1">
      <alignment horizontal="left" vertical="center" wrapText="1"/>
      <protection/>
    </xf>
    <xf numFmtId="0" fontId="18" fillId="6" borderId="60" xfId="0" applyFont="1" applyFill="1" applyBorder="1" applyAlignment="1" applyProtection="1">
      <alignment horizontal="left" vertical="center" wrapText="1"/>
      <protection/>
    </xf>
    <xf numFmtId="0" fontId="18" fillId="6" borderId="67" xfId="0" applyFont="1" applyFill="1" applyBorder="1" applyAlignment="1" applyProtection="1">
      <alignment horizontal="left" vertical="center" wrapText="1"/>
      <protection/>
    </xf>
    <xf numFmtId="0" fontId="18" fillId="6" borderId="50" xfId="0" applyFont="1" applyFill="1" applyBorder="1" applyAlignment="1" applyProtection="1">
      <alignment horizontal="left" vertical="center" wrapText="1"/>
      <protection/>
    </xf>
    <xf numFmtId="0" fontId="75" fillId="23" borderId="68" xfId="0" applyFont="1" applyFill="1" applyBorder="1" applyAlignment="1" applyProtection="1">
      <alignment horizontal="center" vertical="center"/>
      <protection/>
    </xf>
    <xf numFmtId="0" fontId="75" fillId="23" borderId="69" xfId="0" applyFont="1" applyFill="1" applyBorder="1" applyAlignment="1" applyProtection="1">
      <alignment horizontal="center" vertical="center"/>
      <protection/>
    </xf>
    <xf numFmtId="0" fontId="75" fillId="23" borderId="71" xfId="0" applyFont="1" applyFill="1" applyBorder="1" applyAlignment="1" applyProtection="1">
      <alignment horizontal="center" vertical="center"/>
      <protection/>
    </xf>
    <xf numFmtId="0" fontId="13" fillId="6" borderId="76" xfId="0" applyFont="1" applyFill="1" applyBorder="1" applyAlignment="1" applyProtection="1">
      <alignment horizontal="right" vertical="center"/>
      <protection/>
    </xf>
    <xf numFmtId="0" fontId="13" fillId="6" borderId="77" xfId="0" applyFont="1" applyFill="1" applyBorder="1" applyAlignment="1" applyProtection="1">
      <alignment horizontal="right" vertical="center"/>
      <protection/>
    </xf>
    <xf numFmtId="0" fontId="13" fillId="6" borderId="78" xfId="0" applyFont="1" applyFill="1" applyBorder="1" applyAlignment="1" applyProtection="1">
      <alignment horizontal="right" vertical="center"/>
      <protection/>
    </xf>
    <xf numFmtId="0" fontId="13" fillId="6" borderId="79" xfId="0" applyFont="1" applyFill="1" applyBorder="1" applyAlignment="1" applyProtection="1">
      <alignment horizontal="right" vertical="center"/>
      <protection/>
    </xf>
    <xf numFmtId="0" fontId="79" fillId="46" borderId="78" xfId="0" applyFont="1" applyFill="1" applyBorder="1" applyAlignment="1" applyProtection="1">
      <alignment horizontal="right" vertical="center"/>
      <protection/>
    </xf>
    <xf numFmtId="0" fontId="79" fillId="46" borderId="79" xfId="0" applyFont="1" applyFill="1" applyBorder="1" applyAlignment="1" applyProtection="1">
      <alignment horizontal="right" vertical="center"/>
      <protection/>
    </xf>
    <xf numFmtId="0" fontId="74" fillId="0" borderId="13" xfId="0" applyFont="1" applyBorder="1" applyAlignment="1" applyProtection="1">
      <alignment horizontal="center" vertical="center" wrapText="1"/>
      <protection/>
    </xf>
    <xf numFmtId="0" fontId="68" fillId="0" borderId="60" xfId="0" applyFont="1" applyBorder="1" applyAlignment="1" applyProtection="1">
      <alignment horizontal="center" vertical="center" wrapText="1"/>
      <protection/>
    </xf>
    <xf numFmtId="0" fontId="68" fillId="0" borderId="67" xfId="0" applyFont="1" applyBorder="1" applyAlignment="1" applyProtection="1">
      <alignment horizontal="center" vertical="center" wrapText="1"/>
      <protection/>
    </xf>
    <xf numFmtId="0" fontId="68" fillId="0" borderId="40" xfId="0" applyFont="1" applyBorder="1" applyAlignment="1" applyProtection="1">
      <alignment horizontal="center" vertical="center" wrapText="1"/>
      <protection/>
    </xf>
    <xf numFmtId="0" fontId="76" fillId="23" borderId="68" xfId="0" applyFont="1" applyFill="1" applyBorder="1" applyAlignment="1" applyProtection="1">
      <alignment horizontal="center" vertical="center"/>
      <protection/>
    </xf>
    <xf numFmtId="0" fontId="76" fillId="23" borderId="69" xfId="0" applyFont="1" applyFill="1" applyBorder="1" applyAlignment="1" applyProtection="1">
      <alignment horizontal="center" vertical="center"/>
      <protection/>
    </xf>
    <xf numFmtId="0" fontId="76" fillId="23" borderId="70" xfId="0" applyFont="1" applyFill="1" applyBorder="1" applyAlignment="1" applyProtection="1">
      <alignment horizontal="center" vertical="center"/>
      <protection/>
    </xf>
    <xf numFmtId="0" fontId="72" fillId="23" borderId="13" xfId="0" applyFont="1" applyFill="1" applyBorder="1" applyAlignment="1" applyProtection="1">
      <alignment horizontal="center" vertical="center"/>
      <protection locked="0"/>
    </xf>
    <xf numFmtId="0" fontId="73" fillId="0" borderId="13" xfId="0" applyFont="1" applyBorder="1" applyAlignment="1" applyProtection="1">
      <alignment horizontal="left"/>
      <protection locked="0"/>
    </xf>
    <xf numFmtId="0" fontId="64" fillId="0" borderId="13" xfId="0" applyFont="1" applyFill="1" applyBorder="1" applyAlignment="1" applyProtection="1">
      <alignment horizontal="center" vertical="center" wrapText="1"/>
      <protection locked="0"/>
    </xf>
    <xf numFmtId="14" fontId="64" fillId="0" borderId="13" xfId="0" applyNumberFormat="1" applyFont="1" applyBorder="1" applyAlignment="1" applyProtection="1">
      <alignment horizontal="center" vertical="center"/>
      <protection locked="0"/>
    </xf>
    <xf numFmtId="0" fontId="64" fillId="0" borderId="13"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wrapText="1"/>
      <protection locked="0"/>
    </xf>
    <xf numFmtId="0" fontId="80" fillId="34" borderId="0" xfId="0" applyFont="1" applyFill="1" applyBorder="1" applyAlignment="1">
      <alignment horizontal="justify" vertical="center" wrapText="1"/>
    </xf>
    <xf numFmtId="0" fontId="64" fillId="47" borderId="34" xfId="0" applyFont="1" applyFill="1" applyBorder="1" applyAlignment="1">
      <alignment horizontal="center" vertical="center"/>
    </xf>
    <xf numFmtId="0" fontId="64" fillId="47" borderId="36" xfId="0" applyFont="1" applyFill="1" applyBorder="1" applyAlignment="1">
      <alignment horizontal="center" vertical="center"/>
    </xf>
    <xf numFmtId="0" fontId="64" fillId="47" borderId="35" xfId="0" applyFont="1" applyFill="1" applyBorder="1" applyAlignment="1">
      <alignment horizontal="center" vertical="center"/>
    </xf>
    <xf numFmtId="0" fontId="49" fillId="23" borderId="13" xfId="39" applyBorder="1" applyAlignment="1">
      <alignment horizontal="center"/>
    </xf>
    <xf numFmtId="0" fontId="64" fillId="47" borderId="80" xfId="0" applyFont="1" applyFill="1" applyBorder="1" applyAlignment="1">
      <alignment horizontal="center" vertical="center"/>
    </xf>
    <xf numFmtId="0" fontId="64" fillId="47" borderId="81" xfId="0" applyFont="1" applyFill="1" applyBorder="1" applyAlignment="1">
      <alignment horizontal="center" vertical="center"/>
    </xf>
    <xf numFmtId="0" fontId="64" fillId="47" borderId="54" xfId="0" applyFont="1" applyFill="1" applyBorder="1" applyAlignment="1">
      <alignment horizontal="center" vertical="center"/>
    </xf>
    <xf numFmtId="0" fontId="67" fillId="43" borderId="73" xfId="0" applyFont="1" applyFill="1" applyBorder="1" applyAlignment="1">
      <alignment horizontal="center" vertical="center" wrapText="1" readingOrder="1"/>
    </xf>
    <xf numFmtId="0" fontId="67" fillId="43" borderId="74" xfId="0" applyFont="1" applyFill="1" applyBorder="1" applyAlignment="1">
      <alignment horizontal="center" vertical="center" wrapText="1" readingOrder="1"/>
    </xf>
    <xf numFmtId="0" fontId="81" fillId="7" borderId="68" xfId="0" applyFont="1" applyFill="1" applyBorder="1" applyAlignment="1">
      <alignment horizontal="center" vertical="center" wrapText="1" readingOrder="1"/>
    </xf>
    <xf numFmtId="0" fontId="81" fillId="7" borderId="69" xfId="0" applyFont="1" applyFill="1" applyBorder="1" applyAlignment="1">
      <alignment horizontal="center" vertical="center" wrapText="1" readingOrder="1"/>
    </xf>
    <xf numFmtId="0" fontId="81" fillId="7" borderId="70" xfId="0" applyFont="1" applyFill="1" applyBorder="1" applyAlignment="1">
      <alignment horizontal="center" vertical="center" wrapText="1" readingOrder="1"/>
    </xf>
    <xf numFmtId="0" fontId="69" fillId="7" borderId="42" xfId="0" applyFont="1" applyFill="1" applyBorder="1" applyAlignment="1">
      <alignment horizontal="center" vertical="center" wrapText="1" readingOrder="1"/>
    </xf>
    <xf numFmtId="0" fontId="69" fillId="7" borderId="33" xfId="0" applyFont="1" applyFill="1" applyBorder="1" applyAlignment="1">
      <alignment horizontal="center" vertical="center" wrapText="1" readingOrder="1"/>
    </xf>
    <xf numFmtId="0" fontId="69" fillId="34" borderId="52" xfId="0" applyFont="1" applyFill="1" applyBorder="1" applyAlignment="1">
      <alignment horizontal="center" vertical="center" wrapText="1" readingOrder="1"/>
    </xf>
    <xf numFmtId="0" fontId="69" fillId="34" borderId="25" xfId="0" applyFont="1" applyFill="1" applyBorder="1" applyAlignment="1">
      <alignment horizontal="center" vertical="center" wrapText="1" readingOrder="1"/>
    </xf>
    <xf numFmtId="0" fontId="69" fillId="34" borderId="29" xfId="0" applyFont="1" applyFill="1" applyBorder="1" applyAlignment="1">
      <alignment horizontal="center" vertical="center" wrapText="1" readingOrder="1"/>
    </xf>
    <xf numFmtId="0" fontId="69" fillId="34" borderId="13" xfId="0" applyFont="1" applyFill="1" applyBorder="1" applyAlignment="1">
      <alignment horizontal="center" vertical="center" wrapText="1" readingOrder="1"/>
    </xf>
    <xf numFmtId="0" fontId="69" fillId="34" borderId="26" xfId="0" applyFont="1" applyFill="1" applyBorder="1" applyAlignment="1">
      <alignment horizontal="center" vertical="center" wrapText="1" readingOrder="1"/>
    </xf>
    <xf numFmtId="0" fontId="69"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498">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1</xdr:col>
      <xdr:colOff>438150</xdr:colOff>
      <xdr:row>0</xdr:row>
      <xdr:rowOff>942975</xdr:rowOff>
    </xdr:to>
    <xdr:pic>
      <xdr:nvPicPr>
        <xdr:cNvPr id="1" name="Picture 17" descr="LOGO SDS FORMATOS"/>
        <xdr:cNvPicPr preferRelativeResize="1">
          <a:picLocks noChangeAspect="1"/>
        </xdr:cNvPicPr>
      </xdr:nvPicPr>
      <xdr:blipFill>
        <a:blip r:embed="rId1"/>
        <a:stretch>
          <a:fillRect/>
        </a:stretch>
      </xdr:blipFill>
      <xdr:spPr>
        <a:xfrm>
          <a:off x="381000" y="104775"/>
          <a:ext cx="742950" cy="838200"/>
        </a:xfrm>
        <a:prstGeom prst="rect">
          <a:avLst/>
        </a:prstGeom>
        <a:noFill/>
        <a:ln w="9525" cmpd="sng">
          <a:noFill/>
        </a:ln>
      </xdr:spPr>
    </xdr:pic>
    <xdr:clientData/>
  </xdr:twoCellAnchor>
  <xdr:twoCellAnchor editAs="oneCell">
    <xdr:from>
      <xdr:col>43</xdr:col>
      <xdr:colOff>104775</xdr:colOff>
      <xdr:row>0</xdr:row>
      <xdr:rowOff>85725</xdr:rowOff>
    </xdr:from>
    <xdr:to>
      <xdr:col>43</xdr:col>
      <xdr:colOff>914400</xdr:colOff>
      <xdr:row>0</xdr:row>
      <xdr:rowOff>904875</xdr:rowOff>
    </xdr:to>
    <xdr:pic>
      <xdr:nvPicPr>
        <xdr:cNvPr id="2" name="Picture 18" descr="logo SIG"/>
        <xdr:cNvPicPr preferRelativeResize="1">
          <a:picLocks noChangeAspect="1"/>
        </xdr:cNvPicPr>
      </xdr:nvPicPr>
      <xdr:blipFill>
        <a:blip r:embed="rId2"/>
        <a:stretch>
          <a:fillRect/>
        </a:stretch>
      </xdr:blipFill>
      <xdr:spPr>
        <a:xfrm>
          <a:off x="46596300" y="85725"/>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95250</xdr:rowOff>
    </xdr:from>
    <xdr:to>
      <xdr:col>1</xdr:col>
      <xdr:colOff>409575</xdr:colOff>
      <xdr:row>0</xdr:row>
      <xdr:rowOff>933450</xdr:rowOff>
    </xdr:to>
    <xdr:pic>
      <xdr:nvPicPr>
        <xdr:cNvPr id="1" name="Picture 17" descr="LOGO SDS FORMATOS"/>
        <xdr:cNvPicPr preferRelativeResize="1">
          <a:picLocks noChangeAspect="1"/>
        </xdr:cNvPicPr>
      </xdr:nvPicPr>
      <xdr:blipFill>
        <a:blip r:embed="rId1"/>
        <a:stretch>
          <a:fillRect/>
        </a:stretch>
      </xdr:blipFill>
      <xdr:spPr>
        <a:xfrm>
          <a:off x="276225" y="95250"/>
          <a:ext cx="742950" cy="838200"/>
        </a:xfrm>
        <a:prstGeom prst="rect">
          <a:avLst/>
        </a:prstGeom>
        <a:noFill/>
        <a:ln w="9525" cmpd="sng">
          <a:noFill/>
        </a:ln>
      </xdr:spPr>
    </xdr:pic>
    <xdr:clientData/>
  </xdr:twoCellAnchor>
  <xdr:twoCellAnchor editAs="oneCell">
    <xdr:from>
      <xdr:col>13</xdr:col>
      <xdr:colOff>361950</xdr:colOff>
      <xdr:row>0</xdr:row>
      <xdr:rowOff>114300</xdr:rowOff>
    </xdr:from>
    <xdr:to>
      <xdr:col>14</xdr:col>
      <xdr:colOff>409575</xdr:colOff>
      <xdr:row>0</xdr:row>
      <xdr:rowOff>933450</xdr:rowOff>
    </xdr:to>
    <xdr:pic>
      <xdr:nvPicPr>
        <xdr:cNvPr id="2" name="Picture 18" descr="logo SIG"/>
        <xdr:cNvPicPr preferRelativeResize="1">
          <a:picLocks noChangeAspect="1"/>
        </xdr:cNvPicPr>
      </xdr:nvPicPr>
      <xdr:blipFill>
        <a:blip r:embed="rId2"/>
        <a:stretch>
          <a:fillRect/>
        </a:stretch>
      </xdr:blipFill>
      <xdr:spPr>
        <a:xfrm>
          <a:off x="15240000" y="114300"/>
          <a:ext cx="8096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FIN\Matriz%20de%20riesgos%20-%20Direcci&#243;n%20Financiera.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GSS\MAPA%20RIESGO%20GSS_2021_Final10082021.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IVC\Mapa%20Riesgo%20SLSP%20Final%202021.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IVC\MapadeRiesgo%20IVC%2010-08-2021kb%20FIN.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IVC\PSS\MAPA%20DE%20RIESGOS%20IVC%20EN%20BORRADOR%20-%20EN%20VALIDACI&#211;N.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JUR\MapadeRiesgos%20%20V003%20JUR%20Definitivo.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PGE\Mapa%20de%20Riesgos%20PGE%202021%20V2.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saludcapitalgovco-my.sharepoint.com/personal/sasalazar_saludcapital_gov_co/Documents/Escritorio/TEMPORAL/PGS/Mapa%20de%20Riesgos/DIT%20-%20DAEPDSS/MapadeRiesgos%20DAEPDSS-DIyT%20ajustado.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PGS\Mapa%20de%20Riesgos%20proceso%20PGS%202021%20Consolidado.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Users\SaSalazar\OneDrive%20-%20Saludcapital\Escritorio\TEMPORAL\PGS\Mapa%20de%20Riesgos\DIT%20-%20DAEPDSS\MapadeRiesgos%20DAEPDSS-DIyT.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THO\Mapa%20THO-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UED\DUES%20MAPA%20DE%20RIESGOS%202021.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TIC\Mapa%20de%20riesgos%20TIC%202021_IISEM%20Agosto%203008202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ASS\MAPA%20DE%20RIESGOS%20%2019%20DE%20AGOSTO%202021%20AS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BYS\2021MAPARIESGOSBY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CDO\2021%20Mapa%20de%20riesgos%20oad.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COM\MapadeRiesgos_OAC.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CONT\Mapa%20de%20Riesgos%20G%20Contractual%20202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ESC\MapadeRiesgosOCI%20202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GSP\MapadeRiesgos_GSP%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Matriz de riesgos Gestión "/>
      <sheetName val="Matriz de Riesgos Corrupción"/>
      <sheetName val="Impacto Riesgo de Corrupción 1"/>
      <sheetName val="Impacto Riesgo de Corrupción 2"/>
      <sheetName val="datos"/>
    </sheetNames>
    <sheetDataSet>
      <sheetData sheetId="5">
        <row r="1">
          <cell r="B1" t="str">
            <v>Procesos</v>
          </cell>
          <cell r="C1" t="str">
            <v>Objetivo Procesos</v>
          </cell>
        </row>
        <row r="2">
          <cell r="B2" t="str">
            <v>Asegurar Salud</v>
          </cell>
          <cell r="C2" t="str">
            <v>Dirigir, en el Distrito Capital, el aseguramiento en salud, con énfasis en la garantía del acceso a los servicios de salud definidos en el plan de beneficios, así como realizar las labores de Inspección, Vigilancia y Seguimiento a las EAPB que operan en B</v>
          </cell>
        </row>
        <row r="3">
          <cell r="B3" t="str">
            <v>Calidad de Servicios de Salud</v>
          </cell>
          <cell r="C3" t="str">
            <v> Adelantar actividades y programas de asistencia técnica, a los usuarios y/o prestadores de servicios de salud en el Distrito Capital, por medio de asistencias técnicas grupales e individuales, para cumplir con los temas relacionados con el Sistema Obliga</v>
          </cell>
        </row>
        <row r="4">
          <cell r="B4" t="str">
            <v>Control Disciplinario</v>
          </cell>
          <cell r="C4" t="str">
            <v>Ejercer la función disciplinaria en primera instancia en la SDS, mediante el seguimiento y gestión eficiente de los procesos disciplinarios hacia los servidores públicos de acuerdo a los principios rectores de la ley disciplinaria, para garantizar la prot</v>
          </cell>
        </row>
        <row r="5">
          <cell r="B5" t="str">
            <v>Evaluación Seguimiento y Control a la Gestión</v>
          </cell>
          <cell r="C5" t="str">
            <v>Evaluar en la Secretaria Distrital de Salud, las prácticas, componentes, mecanismos de prevención, evaluación y mejoramiento continuo del control, promoviendo las acciones eficaces en las líneas de defensa, el fortalecimiento del Sistema de Control Intern</v>
          </cell>
        </row>
        <row r="6">
          <cell r="B6" t="str">
            <v>Gestión Contractual</v>
          </cell>
          <cell r="C6" t="str">
            <v> Apoyar la adquisición de los bienes, obras o servicios requeridos para el desarrollo de la misionalidad de la Entidad durante cada vigencia, atendiendo las necesidades descritas en el Plan Anual de Adquisiciones, por medio del desarrollo de los procesos </v>
          </cell>
        </row>
        <row r="7">
          <cell r="B7" t="str">
            <v>Gestión de Bienes y Servicios</v>
          </cell>
          <cell r="C7" t="str">
            <v> Realizar la gestión para la administración de los bienes de propiedad planta y equipo de la entidad y la efectiva prestación de los servicios administrativos en todos los procesos y sedes en custodia, mediante la prestación de los servicios de almacén, a</v>
          </cell>
        </row>
        <row r="8">
          <cell r="B8" t="str">
            <v>Gestión de Comunicaciones</v>
          </cell>
          <cell r="C8" t="str">
            <v>Asesorar en materia de comunicación, de acuerdo con las necesidades identificadas en la entidad, a los procesos de la Secretaría Distrital de Salud, a través de la creación de campañas y acciones de comunicación interna y externa para la divulgación de lo</v>
          </cell>
        </row>
        <row r="9">
          <cell r="B9" t="str">
            <v>Gestión de TIC</v>
          </cell>
          <cell r="C9" t="str">
            <v>Gestionar las necesidades en infraestructura tecnológica, soluciones de software, incidentes y requerimientos, seguridad de la información, a través de la implementación de la Política de Gobierno Digital, la administración de los recursos TIC e implement</v>
          </cell>
        </row>
        <row r="10">
          <cell r="B10" t="str">
            <v>Gestión de Urgencias Emergencias y Desastres</v>
          </cell>
          <cell r="C10" t="str">
            <v>Gestionar las urgencias, emergencias y desastres del sector salud en la ciudad de Bogotá, mediante la aplicación del procedimiento de regulación de la urgencia médica y de protocolos, planes y procedimientos ante situaciones de emergencias y desastres par</v>
          </cell>
        </row>
        <row r="11">
          <cell r="B11" t="str">
            <v>Gestión del conocimiento e Innovación</v>
          </cell>
          <cell r="C11" t="str">
            <v>Establecer los lineamientos para el desarrollo de la ciencia y de la tecnología e innovación como insumo en el fortalecimiento del que quehacer de la Entidad.</v>
          </cell>
        </row>
        <row r="12">
          <cell r="B12" t="str">
            <v>Gestión del Talento Humano</v>
          </cell>
          <cell r="C12" t="str">
            <v>Gestionar el proceso de Talento Humano durante el ciclo de vida del servidor público (vinculación, permanencia y retiro) en todas las Dependencias de la SDS, a través de la vinculación de los servidores públicos, el trámite de situaciones administrativas,</v>
          </cell>
        </row>
        <row r="13">
          <cell r="B13" t="str">
            <v>Gestión en Salud Publica</v>
          </cell>
          <cell r="C13" t="str">
            <v>Realizar acciones de promoción de la salud, prevención de la enfermedad y gestión del riesgo en colectivo, de competencia en Salud Pública, para contribuir a mejorar o mantener la salud de la población del Distrito Capital, en el marco del Plan Territoria</v>
          </cell>
        </row>
        <row r="14">
          <cell r="B14" t="str">
            <v>Gestión Financiera</v>
          </cell>
          <cell r="C14" t="str">
            <v>Gestionar durante cada vigencia los ingresos y gastos del Fondo Financiero Distrital de Salud y la Secretaría Distrital de Salud, a través de su oportuna programación, registro, seguimiento y control, así como su preparación, presentación y publicación.</v>
          </cell>
        </row>
        <row r="15">
          <cell r="B15" t="str">
            <v>Gestión Jurídica</v>
          </cell>
          <cell r="C15" t="str">
            <v>Dar respuesta a las solicitudes en los tiempos establecidos ante los despachos de conocimiento, dependencias de la entidad y ciudadanía asesorando en materia jurídica a las dependencias de la Secretaria Distrital de Salud y a las entidades del sector salu</v>
          </cell>
        </row>
        <row r="16">
          <cell r="B16" t="str">
            <v>Gestión Social en Salud</v>
          </cell>
          <cell r="C16" t="str">
            <v>Fortalecer la participación social y el servicio a la ciudadanía, a través de procesos de colaboración ciudadana, transparencia, datos abiertos, orientación, información y gestión en el territorio, para promover procesos protectores de la salud y el acces</v>
          </cell>
        </row>
        <row r="17">
          <cell r="B17" t="str">
            <v>Inspección Vigilancia y Control</v>
          </cell>
          <cell r="C17" t="str">
            <v>Prevenir y controlar factores de riesgo individual y colectivo a través de acciones y estrategias de inspección, vigilancia y control para mejorar la calidad de vida y salud de la población del Distrito Capital en cumplimiento de la normatividad vigente y</v>
          </cell>
        </row>
        <row r="18">
          <cell r="B18" t="str">
            <v>Planeación Institucional y Calidad</v>
          </cell>
          <cell r="C18" t="str">
            <v>Dirigir el mantenimiento del Sistema de Gestión en el marco MIPG y el Desarrollo Institucional en los procesos de la SDS a través del monitoreo y asistencia técnica para cumplir con el direccionamiento estratégico durante la vigencia.</v>
          </cell>
        </row>
        <row r="19">
          <cell r="B19" t="str">
            <v>Planeación y Gestión Sectorial</v>
          </cell>
          <cell r="C19" t="str">
            <v>Gestionar lineamientos, directrices, políticas, planes, programas y proyectos, con el fin de mejorar el comportamiento de los indicadores trazadores y garantizar el derecho a la salud en la Ciudad de Bogotá, en el marco del Plan Territorial de la Salud y </v>
          </cell>
        </row>
        <row r="20">
          <cell r="B20" t="str">
            <v>Política y Gerencia Estratégica</v>
          </cell>
          <cell r="C20" t="str">
            <v>Dirigir y coordinar el funcionamiento del Sistema General de Seguridad Social en Salud mediante la formulación, adopción y adaptación de políticas internas y externas, planes, programas y proyectos para el mejoramiento de la situación de salud de la pobla</v>
          </cell>
        </row>
        <row r="21">
          <cell r="B21" t="str">
            <v>Provisión de Servicios de Salud</v>
          </cell>
          <cell r="C21" t="str">
            <v>Establecer y dar lineamiento a las Empresas Administradoras de Planes de Beneficios e IPS de Bogotá D.C.; mediante la definición de criterios técnicos y operativos de la prestación de servicios de salud, de las Redes de Prestadores, de la Red de Bancos de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Calculo frecuencia"/>
      <sheetName val="dato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frecuencias"/>
      <sheetName val="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sheetDataSet>
      <sheetData sheetId="4">
        <row r="1">
          <cell r="B1" t="str">
            <v>Procesos</v>
          </cell>
          <cell r="C1" t="str">
            <v>Objetivo Procesos</v>
          </cell>
        </row>
        <row r="2">
          <cell r="B2" t="str">
            <v>Asegurar Salud</v>
          </cell>
          <cell r="C2" t="str">
            <v>Dirigir, en el Distrito Capital, el aseguramiento en salud, con énfasis en la garantía del acceso a los servicios de salud definidos en el plan de beneficios, así como realizar las labores de Inspección, Vigilancia y Seguimiento a las EAPB que operan en B</v>
          </cell>
        </row>
        <row r="3">
          <cell r="B3" t="str">
            <v>Calidad de Servicios de Salud</v>
          </cell>
          <cell r="C3" t="str">
            <v> Adelantar actividades y programas de asistencia técnica, a los usuarios y/o prestadores de servicios de salud en el Distrito Capital, por medio de asistencias técnicas grupales e individuales, para cumplir con los temas relacionados con el Sistema Obliga</v>
          </cell>
        </row>
        <row r="4">
          <cell r="B4" t="str">
            <v>Control Disciplinario</v>
          </cell>
          <cell r="C4" t="str">
            <v>Ejercer la función disciplinaria en primera instancia en la SDS, mediante el seguimiento y gestión eficiente de los procesos disciplinarios hacia los servidores públicos de acuerdo a los principios rectores de la ley disciplinaria, para garantizar la prot</v>
          </cell>
        </row>
        <row r="5">
          <cell r="B5" t="str">
            <v>Evaluación Seguimiento y Control a la Gestión</v>
          </cell>
          <cell r="C5" t="str">
            <v>Evaluar en la Secretaria Distrital de Salud, las prácticas, componentes, mecanismos de prevención, evaluación y mejoramiento continuo del control, promoviendo las acciones eficaces en las líneas de defensa, el fortalecimiento del Sistema de Control Intern</v>
          </cell>
        </row>
        <row r="6">
          <cell r="B6" t="str">
            <v>Gestión Contractual</v>
          </cell>
          <cell r="C6" t="str">
            <v> Apoyar la adquisición de los bienes, obras o servicios requeridos para el desarrollo de la misionalidad de la Entidad durante cada vigencia, atendiendo las necesidades descritas en el Plan Anual de Adquisiciones, por medio del desarrollo de los procesos </v>
          </cell>
        </row>
        <row r="7">
          <cell r="B7" t="str">
            <v>Gestión de Bienes y Servicios</v>
          </cell>
          <cell r="C7" t="str">
            <v> Realizar la gestión para la administración de los bienes de propiedad planta y equipo de la entidad y la efectiva prestación de los servicios administrativos en todos los procesos y sedes en custodia, mediante la prestación de los servicios de almacén, a</v>
          </cell>
        </row>
        <row r="8">
          <cell r="B8" t="str">
            <v>Gestión de Comunicaciones</v>
          </cell>
          <cell r="C8" t="str">
            <v>Asesorar en materia de comunicación, de acuerdo con las necesidades identificadas en la entidad, a los procesos de la Secretaría Distrital de Salud, a través de la creación de campañas y acciones de comunicación interna y externa para la divulgación de lo</v>
          </cell>
        </row>
        <row r="9">
          <cell r="B9" t="str">
            <v>Gestión de TIC</v>
          </cell>
          <cell r="C9" t="str">
            <v>Gestionar las necesidades en infraestructura tecnológica, soluciones de software, incidentes y requerimientos, seguridad de la información, a través de la implementación de la Política de Gobierno Digital, la administración de los recursos TIC e implement</v>
          </cell>
        </row>
        <row r="10">
          <cell r="B10" t="str">
            <v>Gestión de Urgencias Emergencias y Desastres</v>
          </cell>
          <cell r="C10" t="str">
            <v>Gestionar las urgencias, emergencias y desastres del sector salud en la ciudad de Bogotá, mediante la aplicación del procedimiento de regulación de la urgencia médica y de protocolos, planes y procedimientos ante situaciones de emergencias y desastres par</v>
          </cell>
        </row>
        <row r="11">
          <cell r="B11" t="str">
            <v>Gestión del conocimiento e Innovación</v>
          </cell>
          <cell r="C11" t="str">
            <v>Establecer los lineamientos para el desarrollo de la ciencia y de la tecnología e innovación como insumo en el fortalecimiento del que quehacer de la Entidad.</v>
          </cell>
        </row>
        <row r="12">
          <cell r="B12" t="str">
            <v>Gestión del Talento Humano</v>
          </cell>
          <cell r="C12" t="str">
            <v>Gestionar el proceso de Talento Humano durante el ciclo de vida del servidor público (vinculación, permanencia y retiro) en todas las Dependencias de la SDS, a través de la vinculación de los servidores públicos, el trámite de situaciones administrativas,</v>
          </cell>
        </row>
        <row r="13">
          <cell r="B13" t="str">
            <v>Gestión en Salud Publica</v>
          </cell>
          <cell r="C13" t="str">
            <v>Realizar acciones de promoción de la salud, prevención de la enfermedad y gestión del riesgo en colectivo, de competencia en Salud Pública, para contribuir a mejorar o mantener la salud de la población del Distrito Capital, en el marco del Plan Territoria</v>
          </cell>
        </row>
        <row r="14">
          <cell r="B14" t="str">
            <v>Gestión Financiera</v>
          </cell>
          <cell r="C14" t="str">
            <v>Gestionar durante cada vigencia los ingresos y gastos del Fondo Financiero Distrital de Salud y la Secretaría Distrital de Salud, a través de su oportuna programación, registro, seguimiento y control, así como su preparación, presentación y publicación.</v>
          </cell>
        </row>
        <row r="15">
          <cell r="B15" t="str">
            <v>Gestión Jurídica</v>
          </cell>
          <cell r="C15" t="str">
            <v>Dar respuesta a las solicitudes en los tiempos establecidos ante los despachos de conocimiento, dependencias de la entidad y ciudadanía asesorando en materia jurídica a las dependencias de la Secretaria Distrital de Salud y a las entidades del sector salu</v>
          </cell>
        </row>
        <row r="16">
          <cell r="B16" t="str">
            <v>Gestión Social en Salud</v>
          </cell>
          <cell r="C16" t="str">
            <v>Fortalecer la participación social y el servicio a la ciudadanía, a través de procesos de colaboración ciudadana, transparencia, datos abiertos, orientación, información y gestión en el territorio, para promover procesos protectores de la salud y el acces</v>
          </cell>
        </row>
        <row r="17">
          <cell r="B17" t="str">
            <v>Inspección Vigilancia y Control</v>
          </cell>
          <cell r="C17" t="str">
            <v>Prevenir y controlar factores de riesgo individual y colectivo a través de acciones y estrategias de inspección, vigilancia y control para mejorar la calidad de vida y salud de la población del Distrito Capital en cumplimiento de la normatividad vigente y</v>
          </cell>
        </row>
        <row r="18">
          <cell r="B18" t="str">
            <v>Planeación Institucional y Calidad</v>
          </cell>
          <cell r="C18" t="str">
            <v>Dirigir el mantenimiento del Sistema de Gestión en el marco MIPG y el Desarrollo Institucional en los procesos de la SDS a través del monitoreo y asistencia técnica para cumplir con el direccionamiento estratégico durante la vigencia.</v>
          </cell>
        </row>
        <row r="19">
          <cell r="B19" t="str">
            <v>Planeación y Gestión Sectorial</v>
          </cell>
          <cell r="C19" t="str">
            <v>Gestionar lineamientos, directrices, políticas, planes, programas y proyectos, con el fin de mejorar el comportamiento de los indicadores trazadores y garantizar el derecho a la salud en la Ciudad de Bogotá, en el marco del Plan Territorial de la Salud y </v>
          </cell>
        </row>
        <row r="20">
          <cell r="B20" t="str">
            <v>Política y Gerencia Estratégica</v>
          </cell>
          <cell r="C20" t="str">
            <v>Dirigir y coordinar el funcionamiento del Sistema General de Seguridad Social en Salud mediante la formulación, adopción y adaptación de políticas internas y externas, planes, programas y proyectos para el mejoramiento de la situación de salud de la pobla</v>
          </cell>
        </row>
        <row r="21">
          <cell r="B21" t="str">
            <v>Provisión de Servicios de Salud</v>
          </cell>
          <cell r="C21" t="str">
            <v>Establecer y dar lineamiento a las Empresas Administradoras de Planes de Beneficios e IPS de Bogotá D.C.; mediante la definición de criterios técnicos y operativos de la prestación de servicios de salud, de las Redes de Prestadores, de la Red de Bancos de</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Hoja1"/>
      <sheetName val="dato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69"/>
  <sheetViews>
    <sheetView tabSelected="1" zoomScale="55" zoomScaleNormal="5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7" sqref="J7"/>
    </sheetView>
  </sheetViews>
  <sheetFormatPr defaultColWidth="11.421875" defaultRowHeight="15"/>
  <cols>
    <col min="1" max="1" width="10.28125" style="93" customWidth="1"/>
    <col min="2" max="2" width="15.00390625" style="93" customWidth="1"/>
    <col min="3" max="3" width="15.7109375" style="93" customWidth="1"/>
    <col min="4" max="4" width="32.421875" style="93" customWidth="1"/>
    <col min="5" max="5" width="13.140625" style="93" customWidth="1"/>
    <col min="6" max="6" width="24.421875" style="93" customWidth="1"/>
    <col min="7" max="7" width="32.140625" style="93" customWidth="1"/>
    <col min="8" max="8" width="11.421875" style="93" customWidth="1"/>
    <col min="9" max="9" width="13.8515625" style="93" customWidth="1"/>
    <col min="10" max="10" width="27.7109375" style="93" customWidth="1"/>
    <col min="11" max="11" width="17.421875" style="93" customWidth="1"/>
    <col min="12" max="12" width="14.7109375" style="93" customWidth="1"/>
    <col min="13" max="13" width="12.28125" style="93" customWidth="1"/>
    <col min="14" max="14" width="10.140625" style="93" customWidth="1"/>
    <col min="15" max="15" width="11.421875" style="93" customWidth="1"/>
    <col min="16" max="16" width="10.8515625" style="93" customWidth="1"/>
    <col min="17" max="19" width="11.421875" style="93" customWidth="1"/>
    <col min="20" max="20" width="21.8515625" style="93" customWidth="1"/>
    <col min="21" max="22" width="13.28125" style="93" customWidth="1"/>
    <col min="23" max="23" width="26.7109375" style="93" customWidth="1"/>
    <col min="24" max="24" width="30.7109375" style="93" customWidth="1"/>
    <col min="25" max="25" width="22.28125" style="93" customWidth="1"/>
    <col min="26" max="26" width="27.8515625" style="93" customWidth="1"/>
    <col min="27" max="27" width="24.7109375" style="93" customWidth="1"/>
    <col min="28" max="28" width="15.421875" style="93" customWidth="1"/>
    <col min="29" max="37" width="11.421875" style="93" customWidth="1"/>
    <col min="38" max="38" width="19.00390625" style="93" customWidth="1"/>
    <col min="39" max="39" width="14.00390625" style="93" bestFit="1" customWidth="1"/>
    <col min="40" max="40" width="16.140625" style="93" customWidth="1"/>
    <col min="41" max="41" width="14.421875" style="93" customWidth="1"/>
    <col min="42" max="42" width="12.421875" style="93" customWidth="1"/>
    <col min="43" max="44" width="15.00390625" style="93" customWidth="1"/>
    <col min="45" max="16384" width="11.421875" style="93" customWidth="1"/>
  </cols>
  <sheetData>
    <row r="1" spans="1:44" ht="83.25" customHeight="1">
      <c r="A1" s="315"/>
      <c r="B1" s="315"/>
      <c r="C1" s="316" t="s">
        <v>227</v>
      </c>
      <c r="D1" s="316"/>
      <c r="E1" s="316"/>
      <c r="F1" s="316"/>
      <c r="G1" s="316"/>
      <c r="H1" s="316"/>
      <c r="I1" s="316"/>
      <c r="J1" s="316"/>
      <c r="K1" s="316"/>
      <c r="L1" s="316"/>
      <c r="M1" s="316"/>
      <c r="N1" s="316"/>
      <c r="O1" s="316"/>
      <c r="P1" s="316"/>
      <c r="Q1" s="316"/>
      <c r="R1" s="316"/>
      <c r="S1" s="316"/>
      <c r="T1" s="316"/>
      <c r="U1" s="316"/>
      <c r="V1" s="316"/>
      <c r="W1" s="316"/>
      <c r="X1" s="316"/>
      <c r="Y1" s="316"/>
      <c r="Z1" s="316"/>
      <c r="AA1" s="327" t="s">
        <v>226</v>
      </c>
      <c r="AB1" s="328"/>
      <c r="AC1" s="328"/>
      <c r="AD1" s="328"/>
      <c r="AE1" s="328"/>
      <c r="AF1" s="328"/>
      <c r="AG1" s="328"/>
      <c r="AH1" s="328"/>
      <c r="AI1" s="328"/>
      <c r="AJ1" s="328"/>
      <c r="AK1" s="328"/>
      <c r="AL1" s="328"/>
      <c r="AM1" s="328"/>
      <c r="AN1" s="328"/>
      <c r="AO1" s="328"/>
      <c r="AP1" s="328"/>
      <c r="AQ1" s="329"/>
      <c r="AR1" s="110"/>
    </row>
    <row r="2" ht="15"/>
    <row r="3" ht="15.75" thickBot="1">
      <c r="A3" s="93" t="s">
        <v>916</v>
      </c>
    </row>
    <row r="4" spans="1:44" ht="16.5" customHeight="1" thickBot="1">
      <c r="A4" s="330" t="s">
        <v>228</v>
      </c>
      <c r="B4" s="331"/>
      <c r="C4" s="331"/>
      <c r="D4" s="331"/>
      <c r="E4" s="331"/>
      <c r="F4" s="331"/>
      <c r="G4" s="331"/>
      <c r="H4" s="331"/>
      <c r="I4" s="331"/>
      <c r="J4" s="331"/>
      <c r="K4" s="331"/>
      <c r="L4" s="332"/>
      <c r="M4" s="330" t="s">
        <v>229</v>
      </c>
      <c r="N4" s="331"/>
      <c r="O4" s="331"/>
      <c r="P4" s="331"/>
      <c r="Q4" s="331"/>
      <c r="R4" s="332"/>
      <c r="S4" s="333" t="s">
        <v>242</v>
      </c>
      <c r="T4" s="334"/>
      <c r="U4" s="334"/>
      <c r="V4" s="334"/>
      <c r="W4" s="334"/>
      <c r="X4" s="334"/>
      <c r="Y4" s="334"/>
      <c r="Z4" s="334"/>
      <c r="AA4" s="334"/>
      <c r="AB4" s="334"/>
      <c r="AC4" s="334"/>
      <c r="AD4" s="334"/>
      <c r="AE4" s="334"/>
      <c r="AF4" s="335"/>
      <c r="AG4" s="336" t="s">
        <v>243</v>
      </c>
      <c r="AH4" s="331"/>
      <c r="AI4" s="331"/>
      <c r="AJ4" s="331"/>
      <c r="AK4" s="331"/>
      <c r="AL4" s="332"/>
      <c r="AM4" s="330" t="s">
        <v>230</v>
      </c>
      <c r="AN4" s="331"/>
      <c r="AO4" s="331"/>
      <c r="AP4" s="331"/>
      <c r="AQ4" s="332"/>
      <c r="AR4" s="349" t="s">
        <v>249</v>
      </c>
    </row>
    <row r="5" spans="1:44" ht="16.5" customHeight="1">
      <c r="A5" s="319" t="s">
        <v>143</v>
      </c>
      <c r="B5" s="321" t="s">
        <v>245</v>
      </c>
      <c r="C5" s="321" t="s">
        <v>246</v>
      </c>
      <c r="D5" s="323" t="s">
        <v>144</v>
      </c>
      <c r="E5" s="321" t="s">
        <v>247</v>
      </c>
      <c r="F5" s="321" t="s">
        <v>145</v>
      </c>
      <c r="G5" s="321" t="s">
        <v>146</v>
      </c>
      <c r="H5" s="347" t="s">
        <v>262</v>
      </c>
      <c r="I5" s="348"/>
      <c r="J5" s="321" t="s">
        <v>263</v>
      </c>
      <c r="K5" s="345" t="s">
        <v>264</v>
      </c>
      <c r="L5" s="337" t="s">
        <v>265</v>
      </c>
      <c r="M5" s="317" t="s">
        <v>154</v>
      </c>
      <c r="N5" s="339" t="s">
        <v>155</v>
      </c>
      <c r="O5" s="339" t="s">
        <v>156</v>
      </c>
      <c r="P5" s="339" t="s">
        <v>222</v>
      </c>
      <c r="Q5" s="339" t="s">
        <v>224</v>
      </c>
      <c r="R5" s="325" t="s">
        <v>207</v>
      </c>
      <c r="S5" s="319" t="s">
        <v>147</v>
      </c>
      <c r="T5" s="102"/>
      <c r="U5" s="321" t="s">
        <v>194</v>
      </c>
      <c r="V5" s="321"/>
      <c r="W5" s="321"/>
      <c r="X5" s="321"/>
      <c r="Y5" s="321"/>
      <c r="Z5" s="321"/>
      <c r="AA5" s="321"/>
      <c r="AB5" s="321" t="s">
        <v>255</v>
      </c>
      <c r="AC5" s="323" t="s">
        <v>256</v>
      </c>
      <c r="AD5" s="321" t="s">
        <v>3</v>
      </c>
      <c r="AE5" s="321"/>
      <c r="AF5" s="337"/>
      <c r="AG5" s="343" t="s">
        <v>148</v>
      </c>
      <c r="AH5" s="339" t="s">
        <v>149</v>
      </c>
      <c r="AI5" s="339" t="s">
        <v>150</v>
      </c>
      <c r="AJ5" s="339" t="s">
        <v>151</v>
      </c>
      <c r="AK5" s="339" t="s">
        <v>152</v>
      </c>
      <c r="AL5" s="341" t="s">
        <v>244</v>
      </c>
      <c r="AM5" s="317" t="s">
        <v>153</v>
      </c>
      <c r="AN5" s="321" t="s">
        <v>212</v>
      </c>
      <c r="AO5" s="321" t="s">
        <v>213</v>
      </c>
      <c r="AP5" s="321" t="s">
        <v>214</v>
      </c>
      <c r="AQ5" s="337" t="s">
        <v>225</v>
      </c>
      <c r="AR5" s="350"/>
    </row>
    <row r="6" spans="1:44" ht="84" customHeight="1" thickBot="1">
      <c r="A6" s="320"/>
      <c r="B6" s="322"/>
      <c r="C6" s="322"/>
      <c r="D6" s="324"/>
      <c r="E6" s="322"/>
      <c r="F6" s="322"/>
      <c r="G6" s="322"/>
      <c r="H6" s="103" t="s">
        <v>261</v>
      </c>
      <c r="I6" s="103" t="s">
        <v>260</v>
      </c>
      <c r="J6" s="322"/>
      <c r="K6" s="346"/>
      <c r="L6" s="338"/>
      <c r="M6" s="318"/>
      <c r="N6" s="340"/>
      <c r="O6" s="340"/>
      <c r="P6" s="340"/>
      <c r="Q6" s="340"/>
      <c r="R6" s="326"/>
      <c r="S6" s="320"/>
      <c r="T6" s="111" t="s">
        <v>223</v>
      </c>
      <c r="U6" s="111" t="s">
        <v>221</v>
      </c>
      <c r="V6" s="111" t="s">
        <v>215</v>
      </c>
      <c r="W6" s="111" t="s">
        <v>220</v>
      </c>
      <c r="X6" s="111" t="s">
        <v>218</v>
      </c>
      <c r="Y6" s="103" t="s">
        <v>219</v>
      </c>
      <c r="Z6" s="111" t="s">
        <v>216</v>
      </c>
      <c r="AA6" s="103" t="s">
        <v>217</v>
      </c>
      <c r="AB6" s="322"/>
      <c r="AC6" s="324"/>
      <c r="AD6" s="104" t="s">
        <v>257</v>
      </c>
      <c r="AE6" s="104" t="s">
        <v>258</v>
      </c>
      <c r="AF6" s="105" t="s">
        <v>259</v>
      </c>
      <c r="AG6" s="344"/>
      <c r="AH6" s="340"/>
      <c r="AI6" s="340"/>
      <c r="AJ6" s="340"/>
      <c r="AK6" s="340"/>
      <c r="AL6" s="342"/>
      <c r="AM6" s="318"/>
      <c r="AN6" s="322"/>
      <c r="AO6" s="322"/>
      <c r="AP6" s="322"/>
      <c r="AQ6" s="338"/>
      <c r="AR6" s="350"/>
    </row>
    <row r="7" spans="1:44" ht="144.75" thickBot="1">
      <c r="A7" s="230">
        <v>1</v>
      </c>
      <c r="B7" s="136" t="s">
        <v>19</v>
      </c>
      <c r="C7" s="136" t="s">
        <v>268</v>
      </c>
      <c r="D7" s="138" t="s">
        <v>124</v>
      </c>
      <c r="E7" s="136" t="s">
        <v>54</v>
      </c>
      <c r="F7" s="136" t="s">
        <v>270</v>
      </c>
      <c r="G7" s="136" t="s">
        <v>270</v>
      </c>
      <c r="H7" s="136" t="s">
        <v>251</v>
      </c>
      <c r="I7" s="136" t="s">
        <v>271</v>
      </c>
      <c r="J7" s="136" t="s">
        <v>272</v>
      </c>
      <c r="K7" s="148" t="s">
        <v>197</v>
      </c>
      <c r="L7" s="133" t="s">
        <v>210</v>
      </c>
      <c r="M7" s="141">
        <v>12</v>
      </c>
      <c r="N7" s="143" t="str">
        <f>_xlfn.IFERROR(VLOOKUP(O7,datos!$AC$2:$AE$7,3,0),"")</f>
        <v>Baja</v>
      </c>
      <c r="O7" s="131">
        <f>+IF(OR(M7="",M7=0),"",IF(M7&lt;=datos!$AD$3,datos!$AC$3,IF(AND(M7&gt;datos!$AD$3,M7&lt;=datos!$AD$4),datos!$AC$4,IF(AND(M7&gt;datos!$AD$4,M7&lt;=datos!$AD$5),datos!$AC$5,IF(AND(M7&gt;datos!$AD$5,M7&lt;=datos!$AD$6),datos!$AC$6,IF(M7&gt;datos!$AD$7,datos!$AC$7,0))))))</f>
        <v>0.4</v>
      </c>
      <c r="P7" s="145" t="str">
        <f>+HLOOKUP(A7,'Impacto Riesgo de Corrupción'!$D$5:$O$26,22,0)</f>
        <v>Moderado</v>
      </c>
      <c r="Q7" s="131">
        <f>+IF(P7="","",VLOOKUP(P7,datos!$AC$12:$AD$15,2,0))</f>
        <v>0.6</v>
      </c>
      <c r="R7" s="142" t="str">
        <f ca="1">_xlfn.IFERROR(INDIRECT("datos!"&amp;HLOOKUP(P7,calculo_imp,2,FALSE)&amp;VLOOKUP(N7,calculo_prob,2,FALSE)),"")</f>
        <v>Moderado</v>
      </c>
      <c r="S7" s="94">
        <v>1</v>
      </c>
      <c r="T7" s="157" t="s">
        <v>273</v>
      </c>
      <c r="U7" s="85" t="s">
        <v>274</v>
      </c>
      <c r="V7" s="85" t="s">
        <v>275</v>
      </c>
      <c r="W7" s="85" t="s">
        <v>276</v>
      </c>
      <c r="X7" s="85" t="s">
        <v>277</v>
      </c>
      <c r="Y7" s="158" t="s">
        <v>278</v>
      </c>
      <c r="Z7" s="158" t="s">
        <v>279</v>
      </c>
      <c r="AA7" s="85" t="s">
        <v>280</v>
      </c>
      <c r="AB7" s="85" t="s">
        <v>281</v>
      </c>
      <c r="AC7" s="138" t="str">
        <f>IF(AD7="","",VLOOKUP(AD7,datos!$AT$6:$AU$9,2,0))</f>
        <v>Probabilidad</v>
      </c>
      <c r="AD7" s="136" t="s">
        <v>80</v>
      </c>
      <c r="AE7" s="136" t="s">
        <v>84</v>
      </c>
      <c r="AF7" s="91">
        <f>IF(AND(AD7="",AE7=""),"",IF(AD7="",0,VLOOKUP(AD7,datos!$AP$3:$AR$7,3,0))+IF(AE7="",0,VLOOKUP(AE7,datos!$AP$3:$AR$7,3,0)))</f>
        <v>0.4</v>
      </c>
      <c r="AG7" s="106" t="str">
        <f>IF(OR(AH7="",AH7=0),"",IF(AH7&lt;=datos!$AC$3,datos!$AE$3,IF(AH7&lt;=datos!$AC$4,datos!$AE$4,IF(AH7&lt;=datos!$AC$5,datos!$AE$5,IF(AH7&lt;=datos!$AC$6,datos!$AE$6,IF(AH7&lt;=datos!$AC$7,datos!$AE$7,""))))))</f>
        <v>Baja</v>
      </c>
      <c r="AH7" s="107">
        <f>IF(AC7="","",IF(S7=1,IF(AC7="Probabilidad",O7-(O7*AF7),O7),IF(AC7="Probabilidad",#REF!-(#REF!*AF7),#REF!)))</f>
        <v>0.24</v>
      </c>
      <c r="AI7" s="143" t="str">
        <f>+IF(AJ7&lt;=datos!$AD$11,datos!$AC$11,IF(AJ7&lt;=datos!$AD$12,datos!$AC$12,IF(AJ7&lt;=datos!$AD$13,datos!$AC$13,IF(AJ7&lt;=datos!$AD$14,datos!$AC$14,IF(AJ7&lt;=datos!$AD$15,datos!$AC$15,"")))))</f>
        <v>Moderado</v>
      </c>
      <c r="AJ7" s="107">
        <f>IF(AC7="","",IF(S7=1,IF(AC7="Impacto",Q7-(Q7*AF7),Q7),IF(AC7="Impacto",#REF!-(#REF!*AF7),#REF!)))</f>
        <v>0.6</v>
      </c>
      <c r="AK7" s="143" t="str">
        <f aca="true" ca="1" t="shared" si="0" ref="AK7:AK13">_xlfn.IFERROR(INDIRECT("datos!"&amp;HLOOKUP(AI7,calculo_imp,2,FALSE)&amp;VLOOKUP(AG7,calculo_prob,2,FALSE)),"")</f>
        <v>Moderado</v>
      </c>
      <c r="AL7" s="89" t="s">
        <v>26</v>
      </c>
      <c r="AM7" s="141" t="s">
        <v>282</v>
      </c>
      <c r="AN7" s="86"/>
      <c r="AO7" s="86"/>
      <c r="AP7" s="136"/>
      <c r="AQ7" s="146"/>
      <c r="AR7" s="147">
        <v>0</v>
      </c>
    </row>
    <row r="8" spans="1:44" ht="108.75" thickBot="1">
      <c r="A8" s="238">
        <v>2</v>
      </c>
      <c r="B8" s="240" t="s">
        <v>19</v>
      </c>
      <c r="C8" s="240" t="s">
        <v>266</v>
      </c>
      <c r="D8" s="274" t="s">
        <v>124</v>
      </c>
      <c r="E8" s="240" t="s">
        <v>55</v>
      </c>
      <c r="F8" s="240" t="s">
        <v>283</v>
      </c>
      <c r="G8" s="240" t="s">
        <v>284</v>
      </c>
      <c r="H8" s="240" t="s">
        <v>251</v>
      </c>
      <c r="I8" s="240" t="s">
        <v>285</v>
      </c>
      <c r="J8" s="240" t="s">
        <v>286</v>
      </c>
      <c r="K8" s="246" t="s">
        <v>197</v>
      </c>
      <c r="L8" s="248" t="s">
        <v>59</v>
      </c>
      <c r="M8" s="250">
        <v>300</v>
      </c>
      <c r="N8" s="252" t="str">
        <f>_xlfn.IFERROR(VLOOKUP(O8,datos!$AC$2:$AE$7,3,0),"")</f>
        <v>Media</v>
      </c>
      <c r="O8" s="254">
        <f>+IF(OR(M8="",M8=0),"",IF(M8&lt;=datos!$AD$3,datos!$AC$3,IF(AND(M8&gt;datos!$AD$3,M8&lt;=datos!$AD$4),datos!$AC$4,IF(AND(M8&gt;datos!$AD$4,M8&lt;=datos!$AD$5),datos!$AC$5,IF(AND(M8&gt;datos!$AD$5,M8&lt;=datos!$AD$6),datos!$AC$6,IF(M8&gt;datos!$AD$7,datos!$AC$7,0))))))</f>
        <v>0.6</v>
      </c>
      <c r="P8" s="256" t="str">
        <f>+HLOOKUP(A8,'Impacto Riesgo de Corrupción'!$D$5:$O$26,22,0)</f>
        <v>Moderado</v>
      </c>
      <c r="Q8" s="254">
        <f>+IF(P8="","",VLOOKUP(P8,datos!$AC$12:$AD$15,2,0))</f>
        <v>0.6</v>
      </c>
      <c r="R8" s="258" t="str">
        <f ca="1">_xlfn.IFERROR(INDIRECT("datos!"&amp;HLOOKUP(P8,calculo_imp,2,FALSE)&amp;VLOOKUP(N8,calculo_prob,2,FALSE)),"")</f>
        <v>Moderado</v>
      </c>
      <c r="S8" s="94">
        <v>1</v>
      </c>
      <c r="T8" s="136" t="s">
        <v>287</v>
      </c>
      <c r="U8" s="159" t="s">
        <v>288</v>
      </c>
      <c r="V8" s="159" t="s">
        <v>289</v>
      </c>
      <c r="W8" s="159" t="s">
        <v>290</v>
      </c>
      <c r="X8" s="160" t="s">
        <v>291</v>
      </c>
      <c r="Y8" s="159" t="s">
        <v>292</v>
      </c>
      <c r="Z8" s="159" t="s">
        <v>293</v>
      </c>
      <c r="AA8" s="161" t="s">
        <v>294</v>
      </c>
      <c r="AB8" s="85" t="s">
        <v>295</v>
      </c>
      <c r="AC8" s="138" t="str">
        <f>IF(AD8="","",VLOOKUP(AD8,datos!$AT$6:$AU$9,2,0))</f>
        <v>Probabilidad</v>
      </c>
      <c r="AD8" s="136" t="s">
        <v>81</v>
      </c>
      <c r="AE8" s="136" t="s">
        <v>84</v>
      </c>
      <c r="AF8" s="91">
        <f>IF(AND(AD8="",AE8=""),"",IF(AD8="",0,VLOOKUP(AD8,datos!$AP$3:$AR$7,3,0))+IF(AE8="",0,VLOOKUP(AE8,datos!$AP$3:$AR$7,3,0)))</f>
        <v>0.3</v>
      </c>
      <c r="AG8" s="106" t="str">
        <f>IF(OR(AH8="",AH8=0),"",IF(AH8&lt;=datos!$AC$3,datos!$AE$3,IF(AH8&lt;=datos!$AC$4,datos!$AE$4,IF(AH8&lt;=datos!$AC$5,datos!$AE$5,IF(AH8&lt;=datos!$AC$6,datos!$AE$6,IF(AH8&lt;=datos!$AC$7,datos!$AE$7,""))))))</f>
        <v>Media</v>
      </c>
      <c r="AH8" s="107">
        <f>IF(AC8="","",IF(S8=1,IF(AC8="Probabilidad",O8-(O8*AF8),O8),IF(AC8="Probabilidad",#REF!-(#REF!*AF8),#REF!)))</f>
        <v>0.42</v>
      </c>
      <c r="AI8" s="143" t="str">
        <f>+IF(AJ8&lt;=datos!$AD$11,datos!$AC$11,IF(AJ8&lt;=datos!$AD$12,datos!$AC$12,IF(AJ8&lt;=datos!$AD$13,datos!$AC$13,IF(AJ8&lt;=datos!$AD$14,datos!$AC$14,IF(AJ8&lt;=datos!$AD$15,datos!$AC$15,"")))))</f>
        <v>Moderado</v>
      </c>
      <c r="AJ8" s="107">
        <f>IF(AC8="","",IF(S8=1,IF(AC8="Impacto",Q8-(Q8*AF8),Q8),IF(AC8="Impacto",#REF!-(#REF!*AF8),#REF!)))</f>
        <v>0.6</v>
      </c>
      <c r="AK8" s="143" t="str">
        <f ca="1" t="shared" si="0"/>
        <v>Moderado</v>
      </c>
      <c r="AL8" s="89" t="s">
        <v>91</v>
      </c>
      <c r="AM8" s="141" t="s">
        <v>282</v>
      </c>
      <c r="AN8" s="86" t="s">
        <v>282</v>
      </c>
      <c r="AO8" s="86"/>
      <c r="AP8" s="136"/>
      <c r="AQ8" s="234"/>
      <c r="AR8" s="236">
        <v>0</v>
      </c>
    </row>
    <row r="9" spans="1:44" ht="84.75" thickBot="1">
      <c r="A9" s="239"/>
      <c r="B9" s="241"/>
      <c r="C9" s="241"/>
      <c r="D9" s="275"/>
      <c r="E9" s="241"/>
      <c r="F9" s="241"/>
      <c r="G9" s="241"/>
      <c r="H9" s="241"/>
      <c r="I9" s="241"/>
      <c r="J9" s="241"/>
      <c r="K9" s="247"/>
      <c r="L9" s="249"/>
      <c r="M9" s="251"/>
      <c r="N9" s="253"/>
      <c r="O9" s="255"/>
      <c r="P9" s="257"/>
      <c r="Q9" s="255" t="e">
        <f>IF(OR(#REF!=datos!$AB$10,#REF!=datos!$AB$16),"",VLOOKUP(#REF!,datos!$AA$10:$AC$21,3,0))</f>
        <v>#REF!</v>
      </c>
      <c r="R9" s="259"/>
      <c r="S9" s="96">
        <v>2</v>
      </c>
      <c r="T9" s="135" t="s">
        <v>296</v>
      </c>
      <c r="U9" s="159" t="s">
        <v>297</v>
      </c>
      <c r="V9" s="159" t="s">
        <v>298</v>
      </c>
      <c r="W9" s="159" t="s">
        <v>299</v>
      </c>
      <c r="X9" s="159" t="s">
        <v>300</v>
      </c>
      <c r="Y9" s="159" t="s">
        <v>301</v>
      </c>
      <c r="Z9" s="159" t="s">
        <v>302</v>
      </c>
      <c r="AA9" s="83" t="s">
        <v>303</v>
      </c>
      <c r="AB9" s="85" t="s">
        <v>295</v>
      </c>
      <c r="AC9" s="139" t="str">
        <f>IF(AD9="","",VLOOKUP(AD9,datos!$AT$6:$AU$9,2,0))</f>
        <v>Probabilidad</v>
      </c>
      <c r="AD9" s="136" t="s">
        <v>81</v>
      </c>
      <c r="AE9" s="136" t="s">
        <v>84</v>
      </c>
      <c r="AF9" s="92">
        <f>IF(AND(AD9="",AE9=""),"",IF(AD9="",0,VLOOKUP(AD9,datos!$AP$3:$AR$7,3,0))+IF(AE9="",0,VLOOKUP(AE9,datos!$AP$3:$AR$7,3,0)))</f>
        <v>0.3</v>
      </c>
      <c r="AG9" s="108" t="str">
        <f>IF(OR(AH9="",AH9=0),"",IF(AH9&lt;=datos!$AC$3,datos!$AE$3,IF(AH9&lt;=datos!$AC$4,datos!$AE$4,IF(AH9&lt;=datos!$AC$5,datos!$AE$5,IF(AH9&lt;=datos!$AC$6,datos!$AE$6,IF(AH9&lt;=datos!$AC$7,datos!$AE$7,""))))))</f>
        <v>Baja</v>
      </c>
      <c r="AH9" s="109">
        <f>IF(AC9="","",IF(S9=1,IF(AC9="Probabilidad",O9-(O9*AF9),O9),IF(AC9="Probabilidad",AH8-(AH8*AF9),AH8)))</f>
        <v>0.294</v>
      </c>
      <c r="AI9" s="144" t="str">
        <f>+IF(AJ9&lt;=datos!$AD$11,datos!$AC$11,IF(AJ9&lt;=datos!$AD$12,datos!$AC$12,IF(AJ9&lt;=datos!$AD$13,datos!$AC$13,IF(AJ9&lt;=datos!$AD$14,datos!$AC$14,IF(AJ9&lt;=datos!$AD$15,datos!$AC$15,"")))))</f>
        <v>Moderado</v>
      </c>
      <c r="AJ9" s="109">
        <f>IF(AC9="","",IF(S9=1,IF(AC9="Impacto",Q9-(Q9*AF9),Q9),IF(AC9="Impacto",AJ8-(AJ8*AF9),AJ8)))</f>
        <v>0.6</v>
      </c>
      <c r="AK9" s="144" t="str">
        <f ca="1" t="shared" si="0"/>
        <v>Moderado</v>
      </c>
      <c r="AL9" s="89" t="s">
        <v>26</v>
      </c>
      <c r="AM9" s="141" t="s">
        <v>304</v>
      </c>
      <c r="AN9" s="86" t="s">
        <v>282</v>
      </c>
      <c r="AO9" s="84"/>
      <c r="AP9" s="135"/>
      <c r="AQ9" s="235"/>
      <c r="AR9" s="237"/>
    </row>
    <row r="10" spans="1:44" ht="108.75" thickBot="1">
      <c r="A10" s="239"/>
      <c r="B10" s="241"/>
      <c r="C10" s="241"/>
      <c r="D10" s="275"/>
      <c r="E10" s="241"/>
      <c r="F10" s="241"/>
      <c r="G10" s="241"/>
      <c r="H10" s="241"/>
      <c r="I10" s="241"/>
      <c r="J10" s="241"/>
      <c r="K10" s="247"/>
      <c r="L10" s="249"/>
      <c r="M10" s="251"/>
      <c r="N10" s="253"/>
      <c r="O10" s="255"/>
      <c r="P10" s="257"/>
      <c r="Q10" s="255" t="e">
        <f>IF(OR(#REF!=datos!$AB$10,#REF!=datos!$AB$16),"",VLOOKUP(#REF!,datos!$AA$10:$AC$21,3,0))</f>
        <v>#REF!</v>
      </c>
      <c r="R10" s="259"/>
      <c r="S10" s="96">
        <v>3</v>
      </c>
      <c r="T10" s="135" t="s">
        <v>305</v>
      </c>
      <c r="U10" s="159" t="s">
        <v>306</v>
      </c>
      <c r="V10" s="159" t="s">
        <v>307</v>
      </c>
      <c r="W10" s="159" t="s">
        <v>308</v>
      </c>
      <c r="X10" s="159" t="s">
        <v>309</v>
      </c>
      <c r="Y10" s="160" t="s">
        <v>310</v>
      </c>
      <c r="Z10" s="159" t="s">
        <v>311</v>
      </c>
      <c r="AA10" s="159" t="s">
        <v>312</v>
      </c>
      <c r="AB10" s="85" t="s">
        <v>295</v>
      </c>
      <c r="AC10" s="139" t="str">
        <f>IF(AD10="","",VLOOKUP(AD10,datos!$AT$6:$AU$9,2,0))</f>
        <v>Probabilidad</v>
      </c>
      <c r="AD10" s="136" t="s">
        <v>80</v>
      </c>
      <c r="AE10" s="136" t="s">
        <v>84</v>
      </c>
      <c r="AF10" s="92">
        <f>IF(AND(AD10="",AE10=""),"",IF(AD10="",0,VLOOKUP(AD10,datos!$AP$3:$AR$7,3,0))+IF(AE10="",0,VLOOKUP(AE10,datos!$AP$3:$AR$7,3,0)))</f>
        <v>0.4</v>
      </c>
      <c r="AG10" s="108" t="str">
        <f>IF(OR(AH10="",AH10=0),"",IF(AH10&lt;=datos!$AC$3,datos!$AE$3,IF(AH10&lt;=datos!$AC$4,datos!$AE$4,IF(AH10&lt;=datos!$AC$5,datos!$AE$5,IF(AH10&lt;=datos!$AC$6,datos!$AE$6,IF(AH10&lt;=datos!$AC$7,datos!$AE$7,""))))))</f>
        <v>Muy Baja</v>
      </c>
      <c r="AH10" s="109">
        <f>IF(AC10="","",IF(S10=1,IF(AC10="Probabilidad",O10-(O10*AF10),O10),IF(AC10="Probabilidad",AH9-(AH9*AF10),AH9)))</f>
        <v>0.1764</v>
      </c>
      <c r="AI10" s="144" t="str">
        <f>+IF(AJ10&lt;=datos!$AD$11,datos!$AC$11,IF(AJ10&lt;=datos!$AD$12,datos!$AC$12,IF(AJ10&lt;=datos!$AD$13,datos!$AC$13,IF(AJ10&lt;=datos!$AD$14,datos!$AC$14,IF(AJ10&lt;=datos!$AD$15,datos!$AC$15,"")))))</f>
        <v>Moderado</v>
      </c>
      <c r="AJ10" s="109">
        <f>IF(AC10="","",IF(S10=1,IF(AC10="Impacto",Q10-(Q10*AF10),Q10),IF(AC10="Impacto",AJ9-(AJ9*AF10),AJ9)))</f>
        <v>0.6</v>
      </c>
      <c r="AK10" s="144" t="str">
        <f ca="1" t="shared" si="0"/>
        <v>Moderado</v>
      </c>
      <c r="AL10" s="89" t="s">
        <v>26</v>
      </c>
      <c r="AM10" s="141" t="s">
        <v>304</v>
      </c>
      <c r="AN10" s="86" t="s">
        <v>282</v>
      </c>
      <c r="AO10" s="84"/>
      <c r="AP10" s="135"/>
      <c r="AQ10" s="235"/>
      <c r="AR10" s="237"/>
    </row>
    <row r="11" spans="1:44" ht="132.75" thickBot="1">
      <c r="A11" s="239"/>
      <c r="B11" s="241"/>
      <c r="C11" s="241"/>
      <c r="D11" s="275"/>
      <c r="E11" s="241"/>
      <c r="F11" s="241"/>
      <c r="G11" s="241"/>
      <c r="H11" s="241"/>
      <c r="I11" s="241"/>
      <c r="J11" s="241"/>
      <c r="K11" s="247"/>
      <c r="L11" s="249"/>
      <c r="M11" s="251"/>
      <c r="N11" s="253"/>
      <c r="O11" s="255"/>
      <c r="P11" s="257"/>
      <c r="Q11" s="255" t="e">
        <f>IF(OR(#REF!=datos!$AB$10,#REF!=datos!$AB$16),"",VLOOKUP(#REF!,datos!$AA$10:$AC$21,3,0))</f>
        <v>#REF!</v>
      </c>
      <c r="R11" s="259"/>
      <c r="S11" s="96">
        <v>4</v>
      </c>
      <c r="T11" s="97"/>
      <c r="U11" s="162" t="s">
        <v>313</v>
      </c>
      <c r="V11" s="162" t="s">
        <v>314</v>
      </c>
      <c r="W11" s="162" t="s">
        <v>315</v>
      </c>
      <c r="X11" s="162" t="s">
        <v>316</v>
      </c>
      <c r="Y11" s="163" t="s">
        <v>317</v>
      </c>
      <c r="Z11" s="162" t="s">
        <v>318</v>
      </c>
      <c r="AA11" s="83" t="s">
        <v>319</v>
      </c>
      <c r="AB11" s="85" t="s">
        <v>295</v>
      </c>
      <c r="AC11" s="139" t="str">
        <f>IF(AD11="","",VLOOKUP(AD11,datos!$AT$6:$AU$9,2,0))</f>
        <v>Probabilidad</v>
      </c>
      <c r="AD11" s="136" t="s">
        <v>80</v>
      </c>
      <c r="AE11" s="136" t="s">
        <v>84</v>
      </c>
      <c r="AF11" s="92">
        <f>IF(AND(AD11="",AE11=""),"",IF(AD11="",0,VLOOKUP(AD11,datos!$AP$3:$AR$7,3,0))+IF(AE11="",0,VLOOKUP(AE11,datos!$AP$3:$AR$7,3,0)))</f>
        <v>0.4</v>
      </c>
      <c r="AG11" s="108" t="str">
        <f>IF(OR(AH11="",AH11=0),"",IF(AH11&lt;=datos!$AC$3,datos!$AE$3,IF(AH11&lt;=datos!$AC$4,datos!$AE$4,IF(AH11&lt;=datos!$AC$5,datos!$AE$5,IF(AH11&lt;=datos!$AC$6,datos!$AE$6,IF(AH11&lt;=datos!$AC$7,datos!$AE$7,""))))))</f>
        <v>Muy Baja</v>
      </c>
      <c r="AH11" s="109">
        <f>IF(AC11="","",IF(S11=1,IF(AC11="Probabilidad",O11-(O11*AF11),O11),IF(AC11="Probabilidad",AH10-(AH10*AF11),AH10)))</f>
        <v>0.10584</v>
      </c>
      <c r="AI11" s="144" t="str">
        <f>+IF(AJ11&lt;=datos!$AD$11,datos!$AC$11,IF(AJ11&lt;=datos!$AD$12,datos!$AC$12,IF(AJ11&lt;=datos!$AD$13,datos!$AC$13,IF(AJ11&lt;=datos!$AD$14,datos!$AC$14,IF(AJ11&lt;=datos!$AD$15,datos!$AC$15,"")))))</f>
        <v>Moderado</v>
      </c>
      <c r="AJ11" s="109">
        <f>IF(AC11="","",IF(S11=1,IF(AC11="Impacto",Q11-(Q11*AF11),Q11),IF(AC11="Impacto",AJ10-(AJ10*AF11),AJ10)))</f>
        <v>0.6</v>
      </c>
      <c r="AK11" s="144" t="str">
        <f ca="1" t="shared" si="0"/>
        <v>Moderado</v>
      </c>
      <c r="AL11" s="89" t="s">
        <v>26</v>
      </c>
      <c r="AM11" s="141" t="s">
        <v>304</v>
      </c>
      <c r="AN11" s="86" t="s">
        <v>282</v>
      </c>
      <c r="AO11" s="84"/>
      <c r="AP11" s="135"/>
      <c r="AQ11" s="235"/>
      <c r="AR11" s="237"/>
    </row>
    <row r="12" spans="1:44" ht="84.75" thickBot="1">
      <c r="A12" s="238">
        <v>3</v>
      </c>
      <c r="B12" s="240" t="s">
        <v>19</v>
      </c>
      <c r="C12" s="240" t="s">
        <v>268</v>
      </c>
      <c r="D12" s="274" t="s">
        <v>124</v>
      </c>
      <c r="E12" s="240" t="s">
        <v>54</v>
      </c>
      <c r="F12" s="240" t="s">
        <v>320</v>
      </c>
      <c r="G12" s="240" t="s">
        <v>321</v>
      </c>
      <c r="H12" s="240" t="s">
        <v>252</v>
      </c>
      <c r="I12" s="240"/>
      <c r="J12" s="240" t="s">
        <v>322</v>
      </c>
      <c r="K12" s="246" t="s">
        <v>197</v>
      </c>
      <c r="L12" s="248" t="s">
        <v>210</v>
      </c>
      <c r="M12" s="250">
        <v>2</v>
      </c>
      <c r="N12" s="252" t="str">
        <f>_xlfn.IFERROR(VLOOKUP(O12,datos!$AC$2:$AE$7,3,0),"")</f>
        <v>Muy Baja</v>
      </c>
      <c r="O12" s="254">
        <f>+IF(OR(M12="",M12=0),"",IF(M12&lt;=datos!$AD$3,datos!$AC$3,IF(AND(M12&gt;datos!$AD$3,M12&lt;=datos!$AD$4),datos!$AC$4,IF(AND(M12&gt;datos!$AD$4,M12&lt;=datos!$AD$5),datos!$AC$5,IF(AND(M12&gt;datos!$AD$5,M12&lt;=datos!$AD$6),datos!$AC$6,IF(M12&gt;datos!$AD$7,datos!$AC$7,0))))))</f>
        <v>0.2</v>
      </c>
      <c r="P12" s="256" t="str">
        <f>+HLOOKUP(A12,'Impacto Riesgo de Corrupción'!$D$5:$O$26,22,0)</f>
        <v>Moderado</v>
      </c>
      <c r="Q12" s="254">
        <f>+IF(P12="","",VLOOKUP(P12,datos!$AC$12:$AD$15,2,0))</f>
        <v>0.6</v>
      </c>
      <c r="R12" s="258" t="str">
        <f ca="1">_xlfn.IFERROR(INDIRECT("datos!"&amp;HLOOKUP(P12,calculo_imp,2,FALSE)&amp;VLOOKUP(N12,calculo_prob,2,FALSE)),"")</f>
        <v>Moderado</v>
      </c>
      <c r="S12" s="94">
        <v>1</v>
      </c>
      <c r="T12" s="136" t="s">
        <v>323</v>
      </c>
      <c r="U12" s="158" t="s">
        <v>324</v>
      </c>
      <c r="V12" s="158" t="s">
        <v>325</v>
      </c>
      <c r="W12" s="158" t="s">
        <v>326</v>
      </c>
      <c r="X12" s="164" t="s">
        <v>327</v>
      </c>
      <c r="Y12" s="158" t="s">
        <v>328</v>
      </c>
      <c r="Z12" s="158" t="s">
        <v>329</v>
      </c>
      <c r="AA12" s="85" t="s">
        <v>330</v>
      </c>
      <c r="AB12" s="85" t="s">
        <v>295</v>
      </c>
      <c r="AC12" s="138" t="str">
        <f>IF(AD12="","",VLOOKUP(AD12,datos!$AT$6:$AU$9,2,0))</f>
        <v>Probabilidad</v>
      </c>
      <c r="AD12" s="136" t="s">
        <v>80</v>
      </c>
      <c r="AE12" s="136" t="s">
        <v>84</v>
      </c>
      <c r="AF12" s="91">
        <f>IF(AND(AD12="",AE12=""),"",IF(AD12="",0,VLOOKUP(AD12,datos!$AP$3:$AR$7,3,0))+IF(AE12="",0,VLOOKUP(AE12,datos!$AP$3:$AR$7,3,0)))</f>
        <v>0.4</v>
      </c>
      <c r="AG12" s="106" t="str">
        <f>IF(OR(AH12="",AH12=0),"",IF(AH12&lt;=datos!$AC$3,datos!$AE$3,IF(AH12&lt;=datos!$AC$4,datos!$AE$4,IF(AH12&lt;=datos!$AC$5,datos!$AE$5,IF(AH12&lt;=datos!$AC$6,datos!$AE$6,IF(AH12&lt;=datos!$AC$7,datos!$AE$7,""))))))</f>
        <v>Muy Baja</v>
      </c>
      <c r="AH12" s="107">
        <f>IF(AC12="","",IF(S12=1,IF(AC12="Probabilidad",O12-(O12*AF12),O12),IF(AC12="Probabilidad",#REF!-(#REF!*AF12),#REF!)))</f>
        <v>0.12</v>
      </c>
      <c r="AI12" s="143" t="str">
        <f>+IF(AJ12&lt;=datos!$AD$11,datos!$AC$11,IF(AJ12&lt;=datos!$AD$12,datos!$AC$12,IF(AJ12&lt;=datos!$AD$13,datos!$AC$13,IF(AJ12&lt;=datos!$AD$14,datos!$AC$14,IF(AJ12&lt;=datos!$AD$15,datos!$AC$15,"")))))</f>
        <v>Moderado</v>
      </c>
      <c r="AJ12" s="107">
        <f>IF(AC12="","",IF(S12=1,IF(AC12="Impacto",Q12-(Q12*AF12),Q12),IF(AC12="Impacto",#REF!-(#REF!*AF12),#REF!)))</f>
        <v>0.6</v>
      </c>
      <c r="AK12" s="143" t="str">
        <f ca="1" t="shared" si="0"/>
        <v>Moderado</v>
      </c>
      <c r="AL12" s="89" t="s">
        <v>26</v>
      </c>
      <c r="AM12" s="141" t="s">
        <v>304</v>
      </c>
      <c r="AN12" s="86" t="s">
        <v>282</v>
      </c>
      <c r="AO12" s="86"/>
      <c r="AP12" s="136"/>
      <c r="AQ12" s="234"/>
      <c r="AR12" s="236">
        <v>0</v>
      </c>
    </row>
    <row r="13" spans="1:44" ht="84.75" thickBot="1">
      <c r="A13" s="239"/>
      <c r="B13" s="241"/>
      <c r="C13" s="241"/>
      <c r="D13" s="275"/>
      <c r="E13" s="241"/>
      <c r="F13" s="241"/>
      <c r="G13" s="241"/>
      <c r="H13" s="241"/>
      <c r="I13" s="241"/>
      <c r="J13" s="241"/>
      <c r="K13" s="247"/>
      <c r="L13" s="249"/>
      <c r="M13" s="251"/>
      <c r="N13" s="253"/>
      <c r="O13" s="255"/>
      <c r="P13" s="257"/>
      <c r="Q13" s="255" t="e">
        <f>IF(OR(#REF!=datos!$AB$10,#REF!=datos!$AB$16),"",VLOOKUP(#REF!,datos!$AA$10:$AC$21,3,0))</f>
        <v>#REF!</v>
      </c>
      <c r="R13" s="259"/>
      <c r="S13" s="96">
        <v>2</v>
      </c>
      <c r="T13" s="135" t="s">
        <v>331</v>
      </c>
      <c r="U13" s="165" t="s">
        <v>324</v>
      </c>
      <c r="V13" s="165" t="s">
        <v>332</v>
      </c>
      <c r="W13" s="165" t="s">
        <v>333</v>
      </c>
      <c r="X13" s="165" t="s">
        <v>334</v>
      </c>
      <c r="Y13" s="165" t="s">
        <v>335</v>
      </c>
      <c r="Z13" s="165" t="s">
        <v>336</v>
      </c>
      <c r="AA13" s="165" t="s">
        <v>336</v>
      </c>
      <c r="AB13" s="85" t="s">
        <v>295</v>
      </c>
      <c r="AC13" s="139" t="str">
        <f>IF(AD13="","",VLOOKUP(AD13,datos!$AT$6:$AU$9,2,0))</f>
        <v>Probabilidad</v>
      </c>
      <c r="AD13" s="135" t="s">
        <v>80</v>
      </c>
      <c r="AE13" s="135" t="s">
        <v>84</v>
      </c>
      <c r="AF13" s="92">
        <f>IF(AND(AD13="",AE13=""),"",IF(AD13="",0,VLOOKUP(AD13,datos!$AP$3:$AR$7,3,0))+IF(AE13="",0,VLOOKUP(AE13,datos!$AP$3:$AR$7,3,0)))</f>
        <v>0.4</v>
      </c>
      <c r="AG13" s="108" t="str">
        <f>IF(OR(AH13="",AH13=0),"",IF(AH13&lt;=datos!$AC$3,datos!$AE$3,IF(AH13&lt;=datos!$AC$4,datos!$AE$4,IF(AH13&lt;=datos!$AC$5,datos!$AE$5,IF(AH13&lt;=datos!$AC$6,datos!$AE$6,IF(AH13&lt;=datos!$AC$7,datos!$AE$7,""))))))</f>
        <v>Muy Baja</v>
      </c>
      <c r="AH13" s="109">
        <f>IF(AC13="","",IF(S13=1,IF(AC13="Probabilidad",O13-(O13*AF13),O13),IF(AC13="Probabilidad",AH12-(AH12*AF13),AH12)))</f>
        <v>0.072</v>
      </c>
      <c r="AI13" s="144" t="str">
        <f>+IF(AJ13&lt;=datos!$AD$11,datos!$AC$11,IF(AJ13&lt;=datos!$AD$12,datos!$AC$12,IF(AJ13&lt;=datos!$AD$13,datos!$AC$13,IF(AJ13&lt;=datos!$AD$14,datos!$AC$14,IF(AJ13&lt;=datos!$AD$15,datos!$AC$15,"")))))</f>
        <v>Moderado</v>
      </c>
      <c r="AJ13" s="109">
        <f>IF(AC13="","",IF(S13=1,IF(AC13="Impacto",Q13-(Q13*AF13),Q13),IF(AC13="Impacto",AJ12-(AJ12*AF13),AJ12)))</f>
        <v>0.6</v>
      </c>
      <c r="AK13" s="144" t="str">
        <f ca="1" t="shared" si="0"/>
        <v>Moderado</v>
      </c>
      <c r="AL13" s="89" t="s">
        <v>26</v>
      </c>
      <c r="AM13" s="141" t="s">
        <v>304</v>
      </c>
      <c r="AN13" s="86" t="s">
        <v>282</v>
      </c>
      <c r="AO13" s="84"/>
      <c r="AP13" s="135"/>
      <c r="AQ13" s="235"/>
      <c r="AR13" s="237"/>
    </row>
    <row r="14" spans="1:44" ht="180.75" thickBot="1">
      <c r="A14" s="231">
        <v>4</v>
      </c>
      <c r="B14" s="148" t="s">
        <v>31</v>
      </c>
      <c r="C14" s="148" t="s">
        <v>269</v>
      </c>
      <c r="D14" s="166" t="s">
        <v>129</v>
      </c>
      <c r="E14" s="148" t="s">
        <v>55</v>
      </c>
      <c r="F14" s="148" t="s">
        <v>337</v>
      </c>
      <c r="G14" s="148" t="s">
        <v>338</v>
      </c>
      <c r="H14" s="148" t="s">
        <v>252</v>
      </c>
      <c r="I14" s="148" t="s">
        <v>339</v>
      </c>
      <c r="J14" s="148" t="s">
        <v>340</v>
      </c>
      <c r="K14" s="148" t="s">
        <v>199</v>
      </c>
      <c r="L14" s="146" t="s">
        <v>210</v>
      </c>
      <c r="M14" s="167">
        <v>600</v>
      </c>
      <c r="N14" s="143" t="str">
        <f>_xlfn.IFERROR(VLOOKUP(O14,datos!$AC$2:$AE$7,3,0),"")</f>
        <v>Alta</v>
      </c>
      <c r="O14" s="131">
        <f>+IF(OR(M14="",M14=0),"",IF(M14&lt;=datos!$AD$3,datos!$AC$3,IF(AND(M14&gt;datos!$AD$3,M14&lt;=datos!$AD$4),datos!$AC$4,IF(AND(M14&gt;datos!$AD$4,M14&lt;=datos!$AD$5),datos!$AC$5,IF(AND(M14&gt;datos!$AD$5,M14&lt;=datos!$AD$6),datos!$AC$6,IF(M14&gt;datos!$AD$7,datos!$AC$7,0))))))</f>
        <v>0.8</v>
      </c>
      <c r="P14" s="145" t="str">
        <f>+HLOOKUP(A14,'Impacto Riesgo de Corrupción'!$D$5:$O$26,22,0)</f>
        <v>Mayor</v>
      </c>
      <c r="Q14" s="131">
        <f>+IF(P14="","",VLOOKUP(P14,datos!$AC$12:$AD$15,2,0))</f>
        <v>0.8</v>
      </c>
      <c r="R14" s="142" t="str">
        <f ca="1">_xlfn.IFERROR(INDIRECT("datos!"&amp;HLOOKUP(P14,calculo_imp,2,FALSE)&amp;VLOOKUP(N14,calculo_prob,2,FALSE)),"")</f>
        <v>Alto</v>
      </c>
      <c r="S14" s="94">
        <v>1</v>
      </c>
      <c r="T14" s="168" t="s">
        <v>341</v>
      </c>
      <c r="U14" s="85" t="s">
        <v>342</v>
      </c>
      <c r="V14" s="85" t="s">
        <v>343</v>
      </c>
      <c r="W14" s="85" t="s">
        <v>344</v>
      </c>
      <c r="X14" s="85" t="s">
        <v>345</v>
      </c>
      <c r="Y14" s="85" t="s">
        <v>346</v>
      </c>
      <c r="Z14" s="85" t="s">
        <v>347</v>
      </c>
      <c r="AA14" s="85" t="s">
        <v>348</v>
      </c>
      <c r="AB14" s="85" t="s">
        <v>349</v>
      </c>
      <c r="AC14" s="138" t="str">
        <f>IF(AD14="","",VLOOKUP(AD14,datos!$AT$6:$AU$9,2,0))</f>
        <v>Probabilidad</v>
      </c>
      <c r="AD14" s="136" t="s">
        <v>80</v>
      </c>
      <c r="AE14" s="136" t="s">
        <v>84</v>
      </c>
      <c r="AF14" s="92">
        <f>IF(AND(AD14="",AE14=""),"",IF(AD14="",0,VLOOKUP(AD14,datos!$AP$3:$AR$7,3,0))+IF(AE14="",0,VLOOKUP(AE14,datos!$AP$3:$AR$7,3,0)))</f>
        <v>0.4</v>
      </c>
      <c r="AG14" s="108" t="str">
        <f>IF(OR(AH14="",AH14=0),"",IF(AH14&lt;=datos!$AC$3,datos!$AE$3,IF(AH14&lt;=datos!$AC$4,datos!$AE$4,IF(AH14&lt;=datos!$AC$5,datos!$AE$5,IF(AH14&lt;=datos!$AC$6,datos!$AE$6,IF(AH14&lt;=datos!$AC$7,datos!$AE$7,""))))))</f>
        <v>Media</v>
      </c>
      <c r="AH14" s="109">
        <f>IF(AC14="","",IF(S14=1,IF(AC14="Probabilidad",O14-(O14*AF14),O14),IF(AC14="Probabilidad",AH13-(AH13*AF14),AH13)))</f>
        <v>0.48</v>
      </c>
      <c r="AI14" s="144" t="str">
        <f>+IF(AJ14&lt;=datos!$AD$11,datos!$AC$11,IF(AJ14&lt;=datos!$AD$12,datos!$AC$12,IF(AJ14&lt;=datos!$AD$13,datos!$AC$13,IF(AJ14&lt;=datos!$AD$14,datos!$AC$14,IF(AJ14&lt;=datos!$AD$15,datos!$AC$15,"")))))</f>
        <v>Mayor</v>
      </c>
      <c r="AJ14" s="109">
        <f>IF(AC14="","",IF(S14=1,IF(AC14="Impacto",Q14-(Q14*AF14),Q14),IF(AC14="Impacto",AJ13-(AJ13*AF14),AJ13)))</f>
        <v>0.8</v>
      </c>
      <c r="AK14" s="144" t="str">
        <f ca="1">_xlfn.IFERROR(INDIRECT("datos!"&amp;HLOOKUP(AI14,calculo_imp,2,FALSE)&amp;VLOOKUP(AG14,calculo_prob,2,FALSE)),"")</f>
        <v>Alto</v>
      </c>
      <c r="AL14" s="89"/>
      <c r="AM14" s="141"/>
      <c r="AN14" s="86"/>
      <c r="AO14" s="86"/>
      <c r="AP14" s="136"/>
      <c r="AQ14" s="146"/>
      <c r="AR14" s="169">
        <v>0</v>
      </c>
    </row>
    <row r="15" spans="1:44" ht="192.75" thickBot="1">
      <c r="A15" s="230">
        <v>5</v>
      </c>
      <c r="B15" s="136" t="s">
        <v>25</v>
      </c>
      <c r="C15" s="136" t="s">
        <v>269</v>
      </c>
      <c r="D15" s="138" t="s">
        <v>126</v>
      </c>
      <c r="E15" s="136" t="s">
        <v>54</v>
      </c>
      <c r="F15" s="170" t="s">
        <v>350</v>
      </c>
      <c r="G15" s="170" t="s">
        <v>351</v>
      </c>
      <c r="H15" s="170" t="s">
        <v>252</v>
      </c>
      <c r="I15" s="170"/>
      <c r="J15" s="170" t="s">
        <v>352</v>
      </c>
      <c r="K15" s="171" t="s">
        <v>197</v>
      </c>
      <c r="L15" s="133" t="s">
        <v>210</v>
      </c>
      <c r="M15" s="141">
        <v>240</v>
      </c>
      <c r="N15" s="143" t="str">
        <f>_xlfn.IFERROR(VLOOKUP(O15,datos!$AC$2:$AE$7,3,0),"")</f>
        <v>Media</v>
      </c>
      <c r="O15" s="131">
        <f>+IF(OR(M15="",M15=0),"",IF(M15&lt;=datos!$AD$3,datos!$AC$3,IF(AND(M15&gt;datos!$AD$3,M15&lt;=datos!$AD$4),datos!$AC$4,IF(AND(M15&gt;datos!$AD$4,M15&lt;=datos!$AD$5),datos!$AC$5,IF(AND(M15&gt;datos!$AD$5,M15&lt;=datos!$AD$6),datos!$AC$6,IF(M15&gt;datos!$AD$7,datos!$AC$7,0))))))</f>
        <v>0.6</v>
      </c>
      <c r="P15" s="145" t="str">
        <f>+HLOOKUP(A15,'Impacto Riesgo de Corrupción'!$D$5:$O$26,22,0)</f>
        <v>Mayor</v>
      </c>
      <c r="Q15" s="131">
        <f>+IF(P15="","",VLOOKUP(P15,datos!$AC$12:$AD$15,2,0))</f>
        <v>0.8</v>
      </c>
      <c r="R15" s="142" t="str">
        <f ca="1">_xlfn.IFERROR(INDIRECT("datos!"&amp;HLOOKUP(P15,calculo_imp,2,FALSE)&amp;VLOOKUP(N15,calculo_prob,2,FALSE)),"")</f>
        <v>Alto</v>
      </c>
      <c r="S15" s="94">
        <v>1</v>
      </c>
      <c r="T15" s="136" t="s">
        <v>353</v>
      </c>
      <c r="U15" s="85" t="s">
        <v>354</v>
      </c>
      <c r="V15" s="85" t="s">
        <v>355</v>
      </c>
      <c r="W15" s="85" t="s">
        <v>356</v>
      </c>
      <c r="X15" s="85" t="s">
        <v>357</v>
      </c>
      <c r="Y15" s="85" t="s">
        <v>358</v>
      </c>
      <c r="Z15" s="85" t="s">
        <v>359</v>
      </c>
      <c r="AA15" s="85" t="s">
        <v>360</v>
      </c>
      <c r="AB15" s="85" t="s">
        <v>361</v>
      </c>
      <c r="AC15" s="138" t="str">
        <f>IF(AD15="","",VLOOKUP(AD15,datos!$AT$6:$AU$9,2,0))</f>
        <v>Probabilidad</v>
      </c>
      <c r="AD15" s="136" t="s">
        <v>80</v>
      </c>
      <c r="AE15" s="136" t="s">
        <v>84</v>
      </c>
      <c r="AF15" s="92">
        <f>IF(AND(AD15="",AE15=""),"",IF(AD15="",0,VLOOKUP(AD15,datos!$AP$3:$AR$7,3,0))+IF(AE15="",0,VLOOKUP(AE15,datos!$AP$3:$AR$7,3,0)))</f>
        <v>0.4</v>
      </c>
      <c r="AG15" s="108" t="str">
        <f>IF(OR(AH15="",AH15=0),"",IF(AH15&lt;=datos!$AC$3,datos!$AE$3,IF(AH15&lt;=datos!$AC$4,datos!$AE$4,IF(AH15&lt;=datos!$AC$5,datos!$AE$5,IF(AH15&lt;=datos!$AC$6,datos!$AE$6,IF(AH15&lt;=datos!$AC$7,datos!$AE$7,""))))))</f>
        <v>Baja</v>
      </c>
      <c r="AH15" s="109">
        <f>IF(AC15="","",IF(S15=1,IF(AC15="Probabilidad",O15-(O15*AF15),O15),IF(AC15="Probabilidad",AH14-(AH14*AF15),AH14)))</f>
        <v>0.36</v>
      </c>
      <c r="AI15" s="144" t="str">
        <f>+IF(AJ15&lt;=datos!$AD$11,datos!$AC$11,IF(AJ15&lt;=datos!$AD$12,datos!$AC$12,IF(AJ15&lt;=datos!$AD$13,datos!$AC$13,IF(AJ15&lt;=datos!$AD$14,datos!$AC$14,IF(AJ15&lt;=datos!$AD$15,datos!$AC$15,"")))))</f>
        <v>Mayor</v>
      </c>
      <c r="AJ15" s="109">
        <f>IF(AC15="","",IF(S15=1,IF(AC15="Impacto",Q15-(Q15*AF15),Q15),IF(AC15="Impacto",AJ14-(AJ14*AF15),AJ14)))</f>
        <v>0.8</v>
      </c>
      <c r="AK15" s="144" t="str">
        <f ca="1">_xlfn.IFERROR(INDIRECT("datos!"&amp;HLOOKUP(AI15,calculo_imp,2,FALSE)&amp;VLOOKUP(AG15,calculo_prob,2,FALSE)),"")</f>
        <v>Alto</v>
      </c>
      <c r="AL15" s="89" t="s">
        <v>92</v>
      </c>
      <c r="AM15" s="141" t="s">
        <v>362</v>
      </c>
      <c r="AN15" s="86">
        <v>44470</v>
      </c>
      <c r="AO15" s="86"/>
      <c r="AP15" s="136"/>
      <c r="AQ15" s="133" t="s">
        <v>363</v>
      </c>
      <c r="AR15" s="147">
        <v>0</v>
      </c>
    </row>
    <row r="16" spans="1:44" ht="144.75" thickBot="1">
      <c r="A16" s="238">
        <v>6</v>
      </c>
      <c r="B16" s="240" t="s">
        <v>25</v>
      </c>
      <c r="C16" s="240" t="s">
        <v>269</v>
      </c>
      <c r="D16" s="274" t="s">
        <v>126</v>
      </c>
      <c r="E16" s="240" t="s">
        <v>54</v>
      </c>
      <c r="F16" s="285" t="s">
        <v>364</v>
      </c>
      <c r="G16" s="285" t="s">
        <v>365</v>
      </c>
      <c r="H16" s="285"/>
      <c r="I16" s="285"/>
      <c r="J16" s="285" t="s">
        <v>366</v>
      </c>
      <c r="K16" s="246" t="s">
        <v>197</v>
      </c>
      <c r="L16" s="248" t="s">
        <v>210</v>
      </c>
      <c r="M16" s="250">
        <v>240</v>
      </c>
      <c r="N16" s="252" t="str">
        <f>_xlfn.IFERROR(VLOOKUP(O16,datos!$AC$2:$AE$7,3,0),"")</f>
        <v>Media</v>
      </c>
      <c r="O16" s="254">
        <f>+IF(OR(M16="",M16=0),"",IF(M16&lt;=datos!$AD$3,datos!$AC$3,IF(AND(M16&gt;datos!$AD$3,M16&lt;=datos!$AD$4),datos!$AC$4,IF(AND(M16&gt;datos!$AD$4,M16&lt;=datos!$AD$5),datos!$AC$5,IF(AND(M16&gt;datos!$AD$5,M16&lt;=datos!$AD$6),datos!$AC$6,IF(M16&gt;datos!$AD$7,datos!$AC$7,0))))))</f>
        <v>0.6</v>
      </c>
      <c r="P16" s="256" t="str">
        <f>+HLOOKUP(A16,'Impacto Riesgo de Corrupción'!$D$5:$O$26,22,0)</f>
        <v>Catastrófico</v>
      </c>
      <c r="Q16" s="254">
        <f>+IF(P16="","",VLOOKUP(P16,datos!$AC$12:$AD$15,2,0))</f>
        <v>1</v>
      </c>
      <c r="R16" s="258" t="str">
        <f ca="1">_xlfn.IFERROR(INDIRECT("datos!"&amp;HLOOKUP(P16,calculo_imp,2,FALSE)&amp;VLOOKUP(N16,calculo_prob,2,FALSE)),"")</f>
        <v>Extremo</v>
      </c>
      <c r="S16" s="94">
        <v>1</v>
      </c>
      <c r="T16" s="172" t="s">
        <v>367</v>
      </c>
      <c r="U16" s="141" t="s">
        <v>368</v>
      </c>
      <c r="V16" s="173" t="s">
        <v>369</v>
      </c>
      <c r="W16" s="173" t="s">
        <v>370</v>
      </c>
      <c r="X16" s="173" t="s">
        <v>371</v>
      </c>
      <c r="Y16" s="173" t="s">
        <v>372</v>
      </c>
      <c r="Z16" s="85" t="s">
        <v>359</v>
      </c>
      <c r="AA16" s="173" t="s">
        <v>373</v>
      </c>
      <c r="AB16" s="174" t="s">
        <v>374</v>
      </c>
      <c r="AC16" s="138" t="str">
        <f>IF(AD16="","",VLOOKUP(AD16,datos!$AT$6:$AU$9,2,0))</f>
        <v>Probabilidad</v>
      </c>
      <c r="AD16" s="136" t="s">
        <v>80</v>
      </c>
      <c r="AE16" s="136" t="s">
        <v>84</v>
      </c>
      <c r="AF16" s="92">
        <f>IF(AND(AD16="",AE16=""),"",IF(AD16="",0,VLOOKUP(AD16,datos!$AP$3:$AR$7,3,0))+IF(AE16="",0,VLOOKUP(AE16,datos!$AP$3:$AR$7,3,0)))</f>
        <v>0.4</v>
      </c>
      <c r="AG16" s="108" t="str">
        <f>IF(OR(AH16="",AH16=0),"",IF(AH16&lt;=datos!$AC$3,datos!$AE$3,IF(AH16&lt;=datos!$AC$4,datos!$AE$4,IF(AH16&lt;=datos!$AC$5,datos!$AE$5,IF(AH16&lt;=datos!$AC$6,datos!$AE$6,IF(AH16&lt;=datos!$AC$7,datos!$AE$7,""))))))</f>
        <v>Baja</v>
      </c>
      <c r="AH16" s="109">
        <f>IF(AC16="","",IF(S16=1,IF(AC16="Probabilidad",O16-(O16*AF16),O16),IF(AC16="Probabilidad",AH15-(AH15*AF16),AH15)))</f>
        <v>0.36</v>
      </c>
      <c r="AI16" s="144" t="str">
        <f>+IF(AJ16&lt;=datos!$AD$11,datos!$AC$11,IF(AJ16&lt;=datos!$AD$12,datos!$AC$12,IF(AJ16&lt;=datos!$AD$13,datos!$AC$13,IF(AJ16&lt;=datos!$AD$14,datos!$AC$14,IF(AJ16&lt;=datos!$AD$15,datos!$AC$15,"")))))</f>
        <v>Catastrófico</v>
      </c>
      <c r="AJ16" s="109">
        <f>IF(AC16="","",IF(S16=1,IF(AC16="Impacto",Q16-(Q16*AF16),Q16),IF(AC16="Impacto",AJ15-(AJ15*AF16),AJ15)))</f>
        <v>1</v>
      </c>
      <c r="AK16" s="144" t="str">
        <f ca="1">_xlfn.IFERROR(INDIRECT("datos!"&amp;HLOOKUP(AI16,calculo_imp,2,FALSE)&amp;VLOOKUP(AG16,calculo_prob,2,FALSE)),"")</f>
        <v>Extremo</v>
      </c>
      <c r="AL16" s="89" t="s">
        <v>92</v>
      </c>
      <c r="AM16" s="307" t="s">
        <v>375</v>
      </c>
      <c r="AN16" s="310">
        <v>44593</v>
      </c>
      <c r="AO16" s="86"/>
      <c r="AP16" s="136"/>
      <c r="AQ16" s="234"/>
      <c r="AR16" s="236">
        <v>0</v>
      </c>
    </row>
    <row r="17" spans="1:44" ht="144.75" thickBot="1">
      <c r="A17" s="239"/>
      <c r="B17" s="241"/>
      <c r="C17" s="241"/>
      <c r="D17" s="275"/>
      <c r="E17" s="241"/>
      <c r="F17" s="276"/>
      <c r="G17" s="276"/>
      <c r="H17" s="276"/>
      <c r="I17" s="276"/>
      <c r="J17" s="276"/>
      <c r="K17" s="247"/>
      <c r="L17" s="249"/>
      <c r="M17" s="251"/>
      <c r="N17" s="253"/>
      <c r="O17" s="255"/>
      <c r="P17" s="257"/>
      <c r="Q17" s="255" t="e">
        <f>IF(OR(#REF!=datos!$AB$10,#REF!=datos!$AB$16),"",VLOOKUP(#REF!,datos!$AA$10:$AC$21,3,0))</f>
        <v>#REF!</v>
      </c>
      <c r="R17" s="259"/>
      <c r="S17" s="96">
        <v>2</v>
      </c>
      <c r="T17" s="175" t="s">
        <v>376</v>
      </c>
      <c r="U17" s="141" t="s">
        <v>368</v>
      </c>
      <c r="V17" s="173" t="s">
        <v>377</v>
      </c>
      <c r="W17" s="173" t="s">
        <v>378</v>
      </c>
      <c r="X17" s="173" t="s">
        <v>379</v>
      </c>
      <c r="Y17" s="173" t="s">
        <v>380</v>
      </c>
      <c r="Z17" s="85" t="s">
        <v>359</v>
      </c>
      <c r="AA17" s="173" t="s">
        <v>381</v>
      </c>
      <c r="AB17" s="174" t="s">
        <v>382</v>
      </c>
      <c r="AC17" s="138" t="str">
        <f>IF(AD17="","",VLOOKUP(AD17,datos!$AT$6:$AU$9,2,0))</f>
        <v>Probabilidad</v>
      </c>
      <c r="AD17" s="135" t="s">
        <v>80</v>
      </c>
      <c r="AE17" s="135" t="s">
        <v>84</v>
      </c>
      <c r="AF17" s="92">
        <f>IF(AND(AD17="",AE17=""),"",IF(AD17="",0,VLOOKUP(AD17,datos!$AP$3:$AR$7,3,0))+IF(AE17="",0,VLOOKUP(AE17,datos!$AP$3:$AR$7,3,0)))</f>
        <v>0.4</v>
      </c>
      <c r="AG17" s="108" t="str">
        <f>IF(OR(AH17="",AH17=0),"",IF(AH17&lt;=datos!$AC$3,datos!$AE$3,IF(AH17&lt;=datos!$AC$4,datos!$AE$4,IF(AH17&lt;=datos!$AC$5,datos!$AE$5,IF(AH17&lt;=datos!$AC$6,datos!$AE$6,IF(AH17&lt;=datos!$AC$7,datos!$AE$7,""))))))</f>
        <v>Baja</v>
      </c>
      <c r="AH17" s="109">
        <f>IF(AC17="","",IF(S17=1,IF(AC17="Probabilidad",O17-(O17*AF17),O17),IF(AC17="Probabilidad",AH16-(AH16*AF17),AH16)))</f>
        <v>0.216</v>
      </c>
      <c r="AI17" s="144" t="str">
        <f>+IF(AJ17&lt;=datos!$AD$11,datos!$AC$11,IF(AJ17&lt;=datos!$AD$12,datos!$AC$12,IF(AJ17&lt;=datos!$AD$13,datos!$AC$13,IF(AJ17&lt;=datos!$AD$14,datos!$AC$14,IF(AJ17&lt;=datos!$AD$15,datos!$AC$15,"")))))</f>
        <v>Catastrófico</v>
      </c>
      <c r="AJ17" s="109">
        <f>IF(AC17="","",IF(S17=1,IF(AC17="Impacto",Q17-(Q17*AF17),Q17),IF(AC17="Impacto",AJ16-(AJ16*AF17),AJ16)))</f>
        <v>1</v>
      </c>
      <c r="AK17" s="144" t="str">
        <f ca="1">_xlfn.IFERROR(INDIRECT("datos!"&amp;HLOOKUP(AI17,calculo_imp,2,FALSE)&amp;VLOOKUP(AG17,calculo_prob,2,FALSE)),"")</f>
        <v>Extremo</v>
      </c>
      <c r="AL17" s="90" t="s">
        <v>92</v>
      </c>
      <c r="AM17" s="308"/>
      <c r="AN17" s="311"/>
      <c r="AO17" s="84"/>
      <c r="AP17" s="135"/>
      <c r="AQ17" s="235"/>
      <c r="AR17" s="237"/>
    </row>
    <row r="18" spans="1:44" ht="144.75" thickBot="1">
      <c r="A18" s="239"/>
      <c r="B18" s="241"/>
      <c r="C18" s="241"/>
      <c r="D18" s="275"/>
      <c r="E18" s="241"/>
      <c r="F18" s="276"/>
      <c r="G18" s="276"/>
      <c r="H18" s="276"/>
      <c r="I18" s="276"/>
      <c r="J18" s="276"/>
      <c r="K18" s="247"/>
      <c r="L18" s="249"/>
      <c r="M18" s="251"/>
      <c r="N18" s="253"/>
      <c r="O18" s="255"/>
      <c r="P18" s="257"/>
      <c r="Q18" s="255" t="e">
        <f>IF(OR(#REF!=datos!$AB$10,#REF!=datos!$AB$16),"",VLOOKUP(#REF!,datos!$AA$10:$AC$21,3,0))</f>
        <v>#REF!</v>
      </c>
      <c r="R18" s="259"/>
      <c r="S18" s="96">
        <v>3</v>
      </c>
      <c r="T18" s="176" t="s">
        <v>383</v>
      </c>
      <c r="U18" s="141" t="s">
        <v>368</v>
      </c>
      <c r="V18" s="173" t="s">
        <v>384</v>
      </c>
      <c r="W18" s="173" t="s">
        <v>385</v>
      </c>
      <c r="X18" s="173" t="s">
        <v>386</v>
      </c>
      <c r="Y18" s="173" t="s">
        <v>380</v>
      </c>
      <c r="Z18" s="85" t="s">
        <v>359</v>
      </c>
      <c r="AA18" s="173" t="s">
        <v>387</v>
      </c>
      <c r="AB18" s="174" t="s">
        <v>388</v>
      </c>
      <c r="AC18" s="138" t="str">
        <f>IF(AD18="","",VLOOKUP(AD18,datos!$AT$6:$AU$9,2,0))</f>
        <v>Probabilidad</v>
      </c>
      <c r="AD18" s="135" t="s">
        <v>80</v>
      </c>
      <c r="AE18" s="135" t="s">
        <v>84</v>
      </c>
      <c r="AF18" s="92">
        <f>IF(AND(AD18="",AE18=""),"",IF(AD18="",0,VLOOKUP(AD18,datos!$AP$3:$AR$7,3,0))+IF(AE18="",0,VLOOKUP(AE18,datos!$AP$3:$AR$7,3,0)))</f>
        <v>0.4</v>
      </c>
      <c r="AG18" s="108" t="str">
        <f>IF(OR(AH18="",AH18=0),"",IF(AH18&lt;=datos!$AC$3,datos!$AE$3,IF(AH18&lt;=datos!$AC$4,datos!$AE$4,IF(AH18&lt;=datos!$AC$5,datos!$AE$5,IF(AH18&lt;=datos!$AC$6,datos!$AE$6,IF(AH18&lt;=datos!$AC$7,datos!$AE$7,""))))))</f>
        <v>Muy Baja</v>
      </c>
      <c r="AH18" s="109">
        <f>IF(AC18="","",IF(S18=1,IF(AC18="Probabilidad",O18-(O18*AF18),O18),IF(AC18="Probabilidad",AH17-(AH17*AF18),AH17)))</f>
        <v>0.1296</v>
      </c>
      <c r="AI18" s="144" t="str">
        <f>+IF(AJ18&lt;=datos!$AD$11,datos!$AC$11,IF(AJ18&lt;=datos!$AD$12,datos!$AC$12,IF(AJ18&lt;=datos!$AD$13,datos!$AC$13,IF(AJ18&lt;=datos!$AD$14,datos!$AC$14,IF(AJ18&lt;=datos!$AD$15,datos!$AC$15,"")))))</f>
        <v>Catastrófico</v>
      </c>
      <c r="AJ18" s="109">
        <f>IF(AC18="","",IF(S18=1,IF(AC18="Impacto",Q18-(Q18*AF18),Q18),IF(AC18="Impacto",AJ17-(AJ17*AF18),AJ17)))</f>
        <v>1</v>
      </c>
      <c r="AK18" s="144" t="str">
        <f ca="1">_xlfn.IFERROR(INDIRECT("datos!"&amp;HLOOKUP(AI18,calculo_imp,2,FALSE)&amp;VLOOKUP(AG18,calculo_prob,2,FALSE)),"")</f>
        <v>Extremo</v>
      </c>
      <c r="AL18" s="90" t="s">
        <v>92</v>
      </c>
      <c r="AM18" s="309"/>
      <c r="AN18" s="312"/>
      <c r="AO18" s="84"/>
      <c r="AP18" s="135"/>
      <c r="AQ18" s="235"/>
      <c r="AR18" s="237"/>
    </row>
    <row r="19" spans="1:44" ht="228.75" thickBot="1">
      <c r="A19" s="230">
        <v>7</v>
      </c>
      <c r="B19" s="136" t="s">
        <v>32</v>
      </c>
      <c r="C19" s="136" t="s">
        <v>269</v>
      </c>
      <c r="D19" s="138" t="s">
        <v>130</v>
      </c>
      <c r="E19" s="136" t="s">
        <v>54</v>
      </c>
      <c r="F19" s="178" t="s">
        <v>389</v>
      </c>
      <c r="G19" s="178" t="s">
        <v>390</v>
      </c>
      <c r="H19" s="136" t="s">
        <v>252</v>
      </c>
      <c r="I19" s="136"/>
      <c r="J19" s="178" t="s">
        <v>391</v>
      </c>
      <c r="K19" s="148" t="s">
        <v>197</v>
      </c>
      <c r="L19" s="133" t="s">
        <v>210</v>
      </c>
      <c r="M19" s="141">
        <v>2292</v>
      </c>
      <c r="N19" s="143" t="str">
        <f>_xlfn.IFERROR(VLOOKUP(O19,datos!$AC$2:$AE$7,3,0),"")</f>
        <v>Alta</v>
      </c>
      <c r="O19" s="131">
        <f>+IF(OR(M19="",M19=0),"",IF(M19&lt;=datos!$AD$3,datos!$AC$3,IF(AND(M19&gt;datos!$AD$3,M19&lt;=datos!$AD$4),datos!$AC$4,IF(AND(M19&gt;datos!$AD$4,M19&lt;=datos!$AD$5),datos!$AC$5,IF(AND(M19&gt;datos!$AD$5,M19&lt;=datos!$AD$6),datos!$AC$6,IF(M19&gt;datos!$AD$7,datos!$AC$7,0))))))</f>
        <v>0.8</v>
      </c>
      <c r="P19" s="145" t="str">
        <f>+HLOOKUP(A19,'Impacto Riesgo de Corrupción'!$D$5:$O$26,22,0)</f>
        <v>Mayor</v>
      </c>
      <c r="Q19" s="131">
        <f>+IF(P19="","",VLOOKUP(P19,datos!$AC$12:$AD$15,2,0))</f>
        <v>0.8</v>
      </c>
      <c r="R19" s="142" t="str">
        <f ca="1">_xlfn.IFERROR(INDIRECT("datos!"&amp;HLOOKUP(P19,calculo_imp,2,FALSE)&amp;VLOOKUP(N19,calculo_prob,2,FALSE)),"")</f>
        <v>Alto</v>
      </c>
      <c r="S19" s="94">
        <v>1</v>
      </c>
      <c r="T19" s="177" t="s">
        <v>392</v>
      </c>
      <c r="U19" s="85" t="s">
        <v>393</v>
      </c>
      <c r="V19" s="85" t="s">
        <v>394</v>
      </c>
      <c r="W19" s="168" t="s">
        <v>395</v>
      </c>
      <c r="X19" s="85" t="s">
        <v>396</v>
      </c>
      <c r="Y19" s="85" t="s">
        <v>397</v>
      </c>
      <c r="Z19" s="85" t="s">
        <v>398</v>
      </c>
      <c r="AA19" s="158" t="s">
        <v>399</v>
      </c>
      <c r="AB19" s="158" t="s">
        <v>400</v>
      </c>
      <c r="AC19" s="138" t="str">
        <f>IF(AD19="","",VLOOKUP(AD19,datos!$AT$6:$AU$9,2,0))</f>
        <v>Probabilidad</v>
      </c>
      <c r="AD19" s="135" t="s">
        <v>80</v>
      </c>
      <c r="AE19" s="135" t="s">
        <v>84</v>
      </c>
      <c r="AF19" s="92">
        <f>IF(AND(AD19="",AE19=""),"",IF(AD19="",0,VLOOKUP(AD19,datos!$AP$3:$AR$7,3,0))+IF(AE19="",0,VLOOKUP(AE19,datos!$AP$3:$AR$7,3,0)))</f>
        <v>0.4</v>
      </c>
      <c r="AG19" s="108" t="str">
        <f>IF(OR(AH19="",AH19=0),"",IF(AH19&lt;=datos!$AC$3,datos!$AE$3,IF(AH19&lt;=datos!$AC$4,datos!$AE$4,IF(AH19&lt;=datos!$AC$5,datos!$AE$5,IF(AH19&lt;=datos!$AC$6,datos!$AE$6,IF(AH19&lt;=datos!$AC$7,datos!$AE$7,""))))))</f>
        <v>Media</v>
      </c>
      <c r="AH19" s="109">
        <f>IF(AC19="","",IF(S19=1,IF(AC19="Probabilidad",O19-(O19*AF19),O19),IF(AC19="Probabilidad",AH18-(AH18*AF19),AH18)))</f>
        <v>0.48</v>
      </c>
      <c r="AI19" s="144" t="str">
        <f>+IF(AJ19&lt;=datos!$AD$11,datos!$AC$11,IF(AJ19&lt;=datos!$AD$12,datos!$AC$12,IF(AJ19&lt;=datos!$AD$13,datos!$AC$13,IF(AJ19&lt;=datos!$AD$14,datos!$AC$14,IF(AJ19&lt;=datos!$AD$15,datos!$AC$15,"")))))</f>
        <v>Mayor</v>
      </c>
      <c r="AJ19" s="109">
        <f>IF(AC19="","",IF(S19=1,IF(AC19="Impacto",Q19-(Q19*AF19),Q19),IF(AC19="Impacto",AJ18-(AJ18*AF19),AJ18)))</f>
        <v>0.8</v>
      </c>
      <c r="AK19" s="144" t="str">
        <f ca="1">_xlfn.IFERROR(INDIRECT("datos!"&amp;HLOOKUP(AI19,calculo_imp,2,FALSE)&amp;VLOOKUP(AG19,calculo_prob,2,FALSE)),"")</f>
        <v>Alto</v>
      </c>
      <c r="AL19" s="89" t="s">
        <v>26</v>
      </c>
      <c r="AM19" s="141"/>
      <c r="AN19" s="86"/>
      <c r="AO19" s="86"/>
      <c r="AP19" s="136"/>
      <c r="AQ19" s="146"/>
      <c r="AR19" s="147">
        <v>0</v>
      </c>
    </row>
    <row r="20" spans="1:44" ht="300.75" thickBot="1">
      <c r="A20" s="230">
        <v>8</v>
      </c>
      <c r="B20" s="136" t="s">
        <v>32</v>
      </c>
      <c r="C20" s="136" t="s">
        <v>269</v>
      </c>
      <c r="D20" s="138" t="s">
        <v>130</v>
      </c>
      <c r="E20" s="136" t="s">
        <v>54</v>
      </c>
      <c r="F20" s="177"/>
      <c r="G20" s="177" t="s">
        <v>401</v>
      </c>
      <c r="H20" s="136" t="s">
        <v>252</v>
      </c>
      <c r="I20" s="136"/>
      <c r="J20" s="178" t="s">
        <v>402</v>
      </c>
      <c r="K20" s="148" t="s">
        <v>197</v>
      </c>
      <c r="L20" s="133" t="s">
        <v>210</v>
      </c>
      <c r="M20" s="141">
        <v>20</v>
      </c>
      <c r="N20" s="143" t="str">
        <f>_xlfn.IFERROR(VLOOKUP(O20,datos!$AC$2:$AE$7,3,0),"")</f>
        <v>Baja</v>
      </c>
      <c r="O20" s="131">
        <f>+IF(OR(M20="",M20=0),"",IF(M20&lt;=datos!$AD$3,datos!$AC$3,IF(AND(M20&gt;datos!$AD$3,M20&lt;=datos!$AD$4),datos!$AC$4,IF(AND(M20&gt;datos!$AD$4,M20&lt;=datos!$AD$5),datos!$AC$5,IF(AND(M20&gt;datos!$AD$5,M20&lt;=datos!$AD$6),datos!$AC$6,IF(M20&gt;datos!$AD$7,datos!$AC$7,0))))))</f>
        <v>0.4</v>
      </c>
      <c r="P20" s="145" t="str">
        <f>+HLOOKUP(A20,'Impacto Riesgo de Corrupción'!$D$5:$O$26,22,0)</f>
        <v>Mayor</v>
      </c>
      <c r="Q20" s="131">
        <f>+IF(P20="","",VLOOKUP(P20,datos!$AC$12:$AD$15,2,0))</f>
        <v>0.8</v>
      </c>
      <c r="R20" s="142" t="str">
        <f ca="1">_xlfn.IFERROR(INDIRECT("datos!"&amp;HLOOKUP(P20,calculo_imp,2,FALSE)&amp;VLOOKUP(N20,calculo_prob,2,FALSE)),"")</f>
        <v>Alto</v>
      </c>
      <c r="S20" s="94">
        <v>1</v>
      </c>
      <c r="T20" s="178" t="s">
        <v>403</v>
      </c>
      <c r="U20" s="85" t="s">
        <v>393</v>
      </c>
      <c r="V20" s="85" t="s">
        <v>404</v>
      </c>
      <c r="W20" s="85" t="s">
        <v>405</v>
      </c>
      <c r="X20" s="85" t="s">
        <v>406</v>
      </c>
      <c r="Y20" s="178" t="s">
        <v>407</v>
      </c>
      <c r="Z20" s="85" t="s">
        <v>408</v>
      </c>
      <c r="AA20" s="158" t="s">
        <v>409</v>
      </c>
      <c r="AB20" s="158" t="s">
        <v>410</v>
      </c>
      <c r="AC20" s="138" t="str">
        <f>IF(AD20="","",VLOOKUP(AD20,datos!$AT$6:$AU$9,2,0))</f>
        <v>Probabilidad</v>
      </c>
      <c r="AD20" s="135" t="s">
        <v>80</v>
      </c>
      <c r="AE20" s="135" t="s">
        <v>84</v>
      </c>
      <c r="AF20" s="92">
        <f>IF(AND(AD20="",AE20=""),"",IF(AD20="",0,VLOOKUP(AD20,datos!$AP$3:$AR$7,3,0))+IF(AE20="",0,VLOOKUP(AE20,datos!$AP$3:$AR$7,3,0)))</f>
        <v>0.4</v>
      </c>
      <c r="AG20" s="108" t="str">
        <f>IF(OR(AH20="",AH20=0),"",IF(AH20&lt;=datos!$AC$3,datos!$AE$3,IF(AH20&lt;=datos!$AC$4,datos!$AE$4,IF(AH20&lt;=datos!$AC$5,datos!$AE$5,IF(AH20&lt;=datos!$AC$6,datos!$AE$6,IF(AH20&lt;=datos!$AC$7,datos!$AE$7,""))))))</f>
        <v>Baja</v>
      </c>
      <c r="AH20" s="109">
        <f>IF(AC20="","",IF(S20=1,IF(AC20="Probabilidad",O20-(O20*AF20),O20),IF(AC20="Probabilidad",AH19-(AH19*AF20),AH19)))</f>
        <v>0.24</v>
      </c>
      <c r="AI20" s="144" t="str">
        <f>+IF(AJ20&lt;=datos!$AD$11,datos!$AC$11,IF(AJ20&lt;=datos!$AD$12,datos!$AC$12,IF(AJ20&lt;=datos!$AD$13,datos!$AC$13,IF(AJ20&lt;=datos!$AD$14,datos!$AC$14,IF(AJ20&lt;=datos!$AD$15,datos!$AC$15,"")))))</f>
        <v>Mayor</v>
      </c>
      <c r="AJ20" s="109">
        <f>IF(AC20="","",IF(S20=1,IF(AC20="Impacto",Q20-(Q20*AF20),Q20),IF(AC20="Impacto",AJ19-(AJ19*AF20),AJ19)))</f>
        <v>0.8</v>
      </c>
      <c r="AK20" s="144" t="str">
        <f ca="1">_xlfn.IFERROR(INDIRECT("datos!"&amp;HLOOKUP(AI20,calculo_imp,2,FALSE)&amp;VLOOKUP(AG20,calculo_prob,2,FALSE)),"")</f>
        <v>Alto</v>
      </c>
      <c r="AL20" s="89" t="s">
        <v>26</v>
      </c>
      <c r="AM20" s="141"/>
      <c r="AN20" s="86"/>
      <c r="AO20" s="86"/>
      <c r="AP20" s="136"/>
      <c r="AQ20" s="146"/>
      <c r="AR20" s="147">
        <v>0</v>
      </c>
    </row>
    <row r="21" spans="1:44" ht="288.75" thickBot="1">
      <c r="A21" s="238">
        <v>9</v>
      </c>
      <c r="B21" s="240" t="s">
        <v>30</v>
      </c>
      <c r="C21" s="240" t="s">
        <v>411</v>
      </c>
      <c r="D21" s="274" t="s">
        <v>128</v>
      </c>
      <c r="E21" s="240" t="s">
        <v>54</v>
      </c>
      <c r="F21" s="240" t="s">
        <v>412</v>
      </c>
      <c r="G21" s="240" t="s">
        <v>413</v>
      </c>
      <c r="H21" s="240" t="s">
        <v>251</v>
      </c>
      <c r="I21" s="240" t="s">
        <v>414</v>
      </c>
      <c r="J21" s="240" t="s">
        <v>415</v>
      </c>
      <c r="K21" s="246" t="s">
        <v>197</v>
      </c>
      <c r="L21" s="248" t="s">
        <v>57</v>
      </c>
      <c r="M21" s="250">
        <v>150</v>
      </c>
      <c r="N21" s="252" t="str">
        <f>_xlfn.IFERROR(VLOOKUP(O21,datos!$AC$2:$AE$7,3,0),"")</f>
        <v>Media</v>
      </c>
      <c r="O21" s="254">
        <f>+IF(OR(M21="",M21=0),"",IF(M21&lt;=datos!$AD$3,datos!$AC$3,IF(AND(M21&gt;datos!$AD$3,M21&lt;=datos!$AD$4),datos!$AC$4,IF(AND(M21&gt;datos!$AD$4,M21&lt;=datos!$AD$5),datos!$AC$5,IF(AND(M21&gt;datos!$AD$5,M21&lt;=datos!$AD$6),datos!$AC$6,IF(M21&gt;datos!$AD$7,datos!$AC$7,0))))))</f>
        <v>0.6</v>
      </c>
      <c r="P21" s="256" t="str">
        <f>+HLOOKUP(A21,'Impacto Riesgo de Corrupción'!$D$5:$O$26,22,0)</f>
        <v>Mayor</v>
      </c>
      <c r="Q21" s="254">
        <f>+IF(P21="","",VLOOKUP(P21,datos!$AC$12:$AD$15,2,0))</f>
        <v>0.8</v>
      </c>
      <c r="R21" s="258" t="str">
        <f ca="1">_xlfn.IFERROR(INDIRECT("datos!"&amp;HLOOKUP(P21,calculo_imp,2,FALSE)&amp;VLOOKUP(N21,calculo_prob,2,FALSE)),"")</f>
        <v>Alto</v>
      </c>
      <c r="S21" s="94">
        <v>1</v>
      </c>
      <c r="T21" s="136" t="s">
        <v>416</v>
      </c>
      <c r="U21" s="179" t="s">
        <v>417</v>
      </c>
      <c r="V21" s="179" t="s">
        <v>418</v>
      </c>
      <c r="W21" s="180" t="s">
        <v>419</v>
      </c>
      <c r="X21" s="179" t="s">
        <v>420</v>
      </c>
      <c r="Y21" s="179" t="s">
        <v>421</v>
      </c>
      <c r="Z21" s="179" t="s">
        <v>422</v>
      </c>
      <c r="AA21" s="158" t="s">
        <v>423</v>
      </c>
      <c r="AB21" s="85" t="s">
        <v>424</v>
      </c>
      <c r="AC21" s="138" t="str">
        <f>IF(AD21="","",VLOOKUP(AD21,datos!$AT$6:$AU$9,2,0))</f>
        <v>Probabilidad</v>
      </c>
      <c r="AD21" s="136" t="s">
        <v>81</v>
      </c>
      <c r="AE21" s="136" t="s">
        <v>84</v>
      </c>
      <c r="AF21" s="92">
        <f>IF(AND(AD21="",AE21=""),"",IF(AD21="",0,VLOOKUP(AD21,datos!$AP$3:$AR$7,3,0))+IF(AE21="",0,VLOOKUP(AE21,datos!$AP$3:$AR$7,3,0)))</f>
        <v>0.3</v>
      </c>
      <c r="AG21" s="108" t="str">
        <f>IF(OR(AH21="",AH21=0),"",IF(AH21&lt;=datos!$AC$3,datos!$AE$3,IF(AH21&lt;=datos!$AC$4,datos!$AE$4,IF(AH21&lt;=datos!$AC$5,datos!$AE$5,IF(AH21&lt;=datos!$AC$6,datos!$AE$6,IF(AH21&lt;=datos!$AC$7,datos!$AE$7,""))))))</f>
        <v>Media</v>
      </c>
      <c r="AH21" s="109">
        <f aca="true" t="shared" si="1" ref="AH21:AH26">IF(AC21="","",IF(S21=1,IF(AC21="Probabilidad",O21-(O21*AF21),O21),IF(AC21="Probabilidad",AH20-(AH20*AF21),AH20)))</f>
        <v>0.42</v>
      </c>
      <c r="AI21" s="144" t="str">
        <f>+IF(AJ21&lt;=datos!$AD$11,datos!$AC$11,IF(AJ21&lt;=datos!$AD$12,datos!$AC$12,IF(AJ21&lt;=datos!$AD$13,datos!$AC$13,IF(AJ21&lt;=datos!$AD$14,datos!$AC$14,IF(AJ21&lt;=datos!$AD$15,datos!$AC$15,"")))))</f>
        <v>Mayor</v>
      </c>
      <c r="AJ21" s="109">
        <f aca="true" t="shared" si="2" ref="AJ21:AJ26">IF(AC21="","",IF(S21=1,IF(AC21="Impacto",Q21-(Q21*AF21),Q21),IF(AC21="Impacto",AJ20-(AJ20*AF21),AJ20)))</f>
        <v>0.8</v>
      </c>
      <c r="AK21" s="144" t="str">
        <f aca="true" ca="1" t="shared" si="3" ref="AK21:AK26">_xlfn.IFERROR(INDIRECT("datos!"&amp;HLOOKUP(AI21,calculo_imp,2,FALSE)&amp;VLOOKUP(AG21,calculo_prob,2,FALSE)),"")</f>
        <v>Alto</v>
      </c>
      <c r="AL21" s="89" t="s">
        <v>92</v>
      </c>
      <c r="AM21" s="141" t="s">
        <v>425</v>
      </c>
      <c r="AN21" s="86" t="s">
        <v>426</v>
      </c>
      <c r="AO21" s="86"/>
      <c r="AP21" s="136"/>
      <c r="AQ21" s="248" t="s">
        <v>427</v>
      </c>
      <c r="AR21" s="236">
        <v>0</v>
      </c>
    </row>
    <row r="22" spans="1:44" ht="192.75" thickBot="1">
      <c r="A22" s="239"/>
      <c r="B22" s="241"/>
      <c r="C22" s="241"/>
      <c r="D22" s="275"/>
      <c r="E22" s="241"/>
      <c r="F22" s="241"/>
      <c r="G22" s="241"/>
      <c r="H22" s="241"/>
      <c r="I22" s="241"/>
      <c r="J22" s="241"/>
      <c r="K22" s="247"/>
      <c r="L22" s="249"/>
      <c r="M22" s="251"/>
      <c r="N22" s="253"/>
      <c r="O22" s="255"/>
      <c r="P22" s="257"/>
      <c r="Q22" s="255" t="e">
        <f>IF(OR(#REF!=datos!$AB$10,#REF!=datos!$AB$16),"",VLOOKUP(#REF!,datos!$AA$10:$AC$21,3,0))</f>
        <v>#REF!</v>
      </c>
      <c r="R22" s="259"/>
      <c r="S22" s="96">
        <v>2</v>
      </c>
      <c r="T22" s="135" t="s">
        <v>428</v>
      </c>
      <c r="U22" s="179" t="s">
        <v>417</v>
      </c>
      <c r="V22" s="179" t="s">
        <v>429</v>
      </c>
      <c r="W22" s="180" t="s">
        <v>430</v>
      </c>
      <c r="X22" s="179" t="s">
        <v>431</v>
      </c>
      <c r="Y22" s="179" t="s">
        <v>432</v>
      </c>
      <c r="Z22" s="179" t="s">
        <v>433</v>
      </c>
      <c r="AA22" s="83" t="s">
        <v>434</v>
      </c>
      <c r="AB22" s="83" t="s">
        <v>435</v>
      </c>
      <c r="AC22" s="138" t="str">
        <f>IF(AD22="","",VLOOKUP(AD22,datos!$AT$6:$AU$9,2,0))</f>
        <v>Probabilidad</v>
      </c>
      <c r="AD22" s="135" t="s">
        <v>81</v>
      </c>
      <c r="AE22" s="135" t="s">
        <v>84</v>
      </c>
      <c r="AF22" s="92">
        <f>IF(AND(AD22="",AE22=""),"",IF(AD22="",0,VLOOKUP(AD22,datos!$AP$3:$AR$7,3,0))+IF(AE22="",0,VLOOKUP(AE22,datos!$AP$3:$AR$7,3,0)))</f>
        <v>0.3</v>
      </c>
      <c r="AG22" s="108" t="str">
        <f>IF(OR(AH22="",AH22=0),"",IF(AH22&lt;=datos!$AC$3,datos!$AE$3,IF(AH22&lt;=datos!$AC$4,datos!$AE$4,IF(AH22&lt;=datos!$AC$5,datos!$AE$5,IF(AH22&lt;=datos!$AC$6,datos!$AE$6,IF(AH22&lt;=datos!$AC$7,datos!$AE$7,""))))))</f>
        <v>Baja</v>
      </c>
      <c r="AH22" s="109">
        <f t="shared" si="1"/>
        <v>0.294</v>
      </c>
      <c r="AI22" s="144" t="str">
        <f>+IF(AJ22&lt;=datos!$AD$11,datos!$AC$11,IF(AJ22&lt;=datos!$AD$12,datos!$AC$12,IF(AJ22&lt;=datos!$AD$13,datos!$AC$13,IF(AJ22&lt;=datos!$AD$14,datos!$AC$14,IF(AJ22&lt;=datos!$AD$15,datos!$AC$15,"")))))</f>
        <v>Mayor</v>
      </c>
      <c r="AJ22" s="109">
        <f t="shared" si="2"/>
        <v>0.8</v>
      </c>
      <c r="AK22" s="144" t="str">
        <f ca="1" t="shared" si="3"/>
        <v>Alto</v>
      </c>
      <c r="AL22" s="89" t="s">
        <v>92</v>
      </c>
      <c r="AM22" s="140" t="s">
        <v>425</v>
      </c>
      <c r="AN22" s="84" t="s">
        <v>426</v>
      </c>
      <c r="AO22" s="84"/>
      <c r="AP22" s="135"/>
      <c r="AQ22" s="249"/>
      <c r="AR22" s="237"/>
    </row>
    <row r="23" spans="1:44" ht="192.75" thickBot="1">
      <c r="A23" s="239"/>
      <c r="B23" s="241"/>
      <c r="C23" s="241"/>
      <c r="D23" s="275"/>
      <c r="E23" s="241"/>
      <c r="F23" s="241"/>
      <c r="G23" s="241"/>
      <c r="H23" s="241"/>
      <c r="I23" s="241"/>
      <c r="J23" s="241"/>
      <c r="K23" s="247"/>
      <c r="L23" s="249"/>
      <c r="M23" s="251"/>
      <c r="N23" s="253"/>
      <c r="O23" s="255"/>
      <c r="P23" s="257"/>
      <c r="Q23" s="255" t="e">
        <f>IF(OR(#REF!=datos!$AB$10,#REF!=datos!$AB$16),"",VLOOKUP(#REF!,datos!$AA$10:$AC$21,3,0))</f>
        <v>#REF!</v>
      </c>
      <c r="R23" s="259"/>
      <c r="S23" s="96">
        <v>3</v>
      </c>
      <c r="T23" s="135" t="s">
        <v>436</v>
      </c>
      <c r="U23" s="179" t="s">
        <v>417</v>
      </c>
      <c r="V23" s="179" t="s">
        <v>437</v>
      </c>
      <c r="W23" s="180" t="s">
        <v>438</v>
      </c>
      <c r="X23" s="179" t="s">
        <v>431</v>
      </c>
      <c r="Y23" s="179" t="s">
        <v>432</v>
      </c>
      <c r="Z23" s="179" t="s">
        <v>433</v>
      </c>
      <c r="AA23" s="83" t="s">
        <v>439</v>
      </c>
      <c r="AB23" s="83" t="s">
        <v>440</v>
      </c>
      <c r="AC23" s="138" t="str">
        <f>IF(AD23="","",VLOOKUP(AD23,datos!$AT$6:$AU$9,2,0))</f>
        <v>Probabilidad</v>
      </c>
      <c r="AD23" s="135" t="s">
        <v>81</v>
      </c>
      <c r="AE23" s="135" t="s">
        <v>84</v>
      </c>
      <c r="AF23" s="92">
        <f>IF(AND(AD23="",AE23=""),"",IF(AD23="",0,VLOOKUP(AD23,datos!$AP$3:$AR$7,3,0))+IF(AE23="",0,VLOOKUP(AE23,datos!$AP$3:$AR$7,3,0)))</f>
        <v>0.3</v>
      </c>
      <c r="AG23" s="108" t="str">
        <f>IF(OR(AH23="",AH23=0),"",IF(AH23&lt;=datos!$AC$3,datos!$AE$3,IF(AH23&lt;=datos!$AC$4,datos!$AE$4,IF(AH23&lt;=datos!$AC$5,datos!$AE$5,IF(AH23&lt;=datos!$AC$6,datos!$AE$6,IF(AH23&lt;=datos!$AC$7,datos!$AE$7,""))))))</f>
        <v>Baja</v>
      </c>
      <c r="AH23" s="109">
        <f t="shared" si="1"/>
        <v>0.20579999999999998</v>
      </c>
      <c r="AI23" s="144" t="str">
        <f>+IF(AJ23&lt;=datos!$AD$11,datos!$AC$11,IF(AJ23&lt;=datos!$AD$12,datos!$AC$12,IF(AJ23&lt;=datos!$AD$13,datos!$AC$13,IF(AJ23&lt;=datos!$AD$14,datos!$AC$14,IF(AJ23&lt;=datos!$AD$15,datos!$AC$15,"")))))</f>
        <v>Mayor</v>
      </c>
      <c r="AJ23" s="109">
        <f t="shared" si="2"/>
        <v>0.8</v>
      </c>
      <c r="AK23" s="144" t="str">
        <f ca="1" t="shared" si="3"/>
        <v>Alto</v>
      </c>
      <c r="AL23" s="89" t="s">
        <v>92</v>
      </c>
      <c r="AM23" s="140" t="s">
        <v>425</v>
      </c>
      <c r="AN23" s="84" t="s">
        <v>426</v>
      </c>
      <c r="AO23" s="84"/>
      <c r="AP23" s="135"/>
      <c r="AQ23" s="249"/>
      <c r="AR23" s="237"/>
    </row>
    <row r="24" spans="1:44" ht="72.75" customHeight="1" thickBot="1">
      <c r="A24" s="230">
        <v>10</v>
      </c>
      <c r="B24" s="136" t="s">
        <v>30</v>
      </c>
      <c r="C24" s="136" t="s">
        <v>411</v>
      </c>
      <c r="D24" s="138" t="s">
        <v>128</v>
      </c>
      <c r="E24" s="136" t="s">
        <v>54</v>
      </c>
      <c r="F24" s="136" t="s">
        <v>441</v>
      </c>
      <c r="G24" s="136" t="s">
        <v>442</v>
      </c>
      <c r="H24" s="136" t="s">
        <v>252</v>
      </c>
      <c r="I24" s="136" t="s">
        <v>443</v>
      </c>
      <c r="J24" s="136" t="s">
        <v>444</v>
      </c>
      <c r="K24" s="148" t="s">
        <v>197</v>
      </c>
      <c r="L24" s="133" t="s">
        <v>57</v>
      </c>
      <c r="M24" s="141">
        <v>1500</v>
      </c>
      <c r="N24" s="143" t="str">
        <f>_xlfn.IFERROR(VLOOKUP(O24,datos!$AC$2:$AE$7,3,0),"")</f>
        <v>Alta</v>
      </c>
      <c r="O24" s="131">
        <f>+IF(OR(M24="",M24=0),"",IF(M24&lt;=datos!$AD$3,datos!$AC$3,IF(AND(M24&gt;datos!$AD$3,M24&lt;=datos!$AD$4),datos!$AC$4,IF(AND(M24&gt;datos!$AD$4,M24&lt;=datos!$AD$5),datos!$AC$5,IF(AND(M24&gt;datos!$AD$5,M24&lt;=datos!$AD$6),datos!$AC$6,IF(M24&gt;datos!$AD$7,datos!$AC$7,0))))))</f>
        <v>0.8</v>
      </c>
      <c r="P24" s="145" t="str">
        <f>+HLOOKUP(A24,'Impacto Riesgo de Corrupción'!$D$5:$O$26,22,0)</f>
        <v>Mayor</v>
      </c>
      <c r="Q24" s="131">
        <f>+IF(P24="","",VLOOKUP(P24,datos!$AC$12:$AD$15,2,0))</f>
        <v>0.8</v>
      </c>
      <c r="R24" s="142" t="str">
        <f ca="1">_xlfn.IFERROR(INDIRECT("datos!"&amp;HLOOKUP(P24,calculo_imp,2,FALSE)&amp;VLOOKUP(N24,calculo_prob,2,FALSE)),"")</f>
        <v>Alto</v>
      </c>
      <c r="S24" s="94">
        <v>1</v>
      </c>
      <c r="T24" s="136" t="s">
        <v>445</v>
      </c>
      <c r="U24" s="181" t="s">
        <v>446</v>
      </c>
      <c r="V24" s="181" t="s">
        <v>447</v>
      </c>
      <c r="W24" s="182" t="s">
        <v>448</v>
      </c>
      <c r="X24" s="183" t="s">
        <v>449</v>
      </c>
      <c r="Y24" s="183" t="s">
        <v>450</v>
      </c>
      <c r="Z24" s="183" t="s">
        <v>451</v>
      </c>
      <c r="AA24" s="85" t="s">
        <v>452</v>
      </c>
      <c r="AB24" s="85" t="s">
        <v>453</v>
      </c>
      <c r="AC24" s="138" t="str">
        <f>IF(AD24="","",VLOOKUP(AD24,datos!$AT$6:$AU$9,2,0))</f>
        <v>Probabilidad</v>
      </c>
      <c r="AD24" s="136" t="s">
        <v>81</v>
      </c>
      <c r="AE24" s="136" t="s">
        <v>84</v>
      </c>
      <c r="AF24" s="92">
        <f>IF(AND(AD24="",AE24=""),"",IF(AD24="",0,VLOOKUP(AD24,datos!$AP$3:$AR$7,3,0))+IF(AE24="",0,VLOOKUP(AE24,datos!$AP$3:$AR$7,3,0)))</f>
        <v>0.3</v>
      </c>
      <c r="AG24" s="108" t="str">
        <f>IF(OR(AH24="",AH24=0),"",IF(AH24&lt;=datos!$AC$3,datos!$AE$3,IF(AH24&lt;=datos!$AC$4,datos!$AE$4,IF(AH24&lt;=datos!$AC$5,datos!$AE$5,IF(AH24&lt;=datos!$AC$6,datos!$AE$6,IF(AH24&lt;=datos!$AC$7,datos!$AE$7,""))))))</f>
        <v>Media</v>
      </c>
      <c r="AH24" s="109">
        <f t="shared" si="1"/>
        <v>0.56</v>
      </c>
      <c r="AI24" s="144" t="str">
        <f>+IF(AJ24&lt;=datos!$AD$11,datos!$AC$11,IF(AJ24&lt;=datos!$AD$12,datos!$AC$12,IF(AJ24&lt;=datos!$AD$13,datos!$AC$13,IF(AJ24&lt;=datos!$AD$14,datos!$AC$14,IF(AJ24&lt;=datos!$AD$15,datos!$AC$15,"")))))</f>
        <v>Mayor</v>
      </c>
      <c r="AJ24" s="109">
        <f t="shared" si="2"/>
        <v>0.8</v>
      </c>
      <c r="AK24" s="144" t="str">
        <f ca="1" t="shared" si="3"/>
        <v>Alto</v>
      </c>
      <c r="AL24" s="89" t="s">
        <v>92</v>
      </c>
      <c r="AM24" s="141" t="s">
        <v>454</v>
      </c>
      <c r="AN24" s="86" t="s">
        <v>426</v>
      </c>
      <c r="AO24" s="86"/>
      <c r="AP24" s="136"/>
      <c r="AQ24" s="133" t="s">
        <v>427</v>
      </c>
      <c r="AR24" s="147">
        <v>0</v>
      </c>
    </row>
    <row r="25" spans="1:44" ht="72.75" customHeight="1" thickBot="1">
      <c r="A25" s="230">
        <v>11</v>
      </c>
      <c r="B25" s="136" t="s">
        <v>30</v>
      </c>
      <c r="C25" s="136" t="s">
        <v>411</v>
      </c>
      <c r="D25" s="138" t="s">
        <v>128</v>
      </c>
      <c r="E25" s="136" t="s">
        <v>54</v>
      </c>
      <c r="F25" s="136" t="s">
        <v>455</v>
      </c>
      <c r="G25" s="136" t="s">
        <v>442</v>
      </c>
      <c r="H25" s="136" t="s">
        <v>251</v>
      </c>
      <c r="I25" s="136" t="s">
        <v>414</v>
      </c>
      <c r="J25" s="136" t="s">
        <v>456</v>
      </c>
      <c r="K25" s="148" t="s">
        <v>197</v>
      </c>
      <c r="L25" s="133" t="s">
        <v>57</v>
      </c>
      <c r="M25" s="141">
        <v>1300</v>
      </c>
      <c r="N25" s="143" t="str">
        <f>_xlfn.IFERROR(VLOOKUP(O25,datos!$AC$2:$AE$7,3,0),"")</f>
        <v>Alta</v>
      </c>
      <c r="O25" s="131">
        <f>+IF(OR(M25="",M25=0),"",IF(M25&lt;=datos!$AD$3,datos!$AC$3,IF(AND(M25&gt;datos!$AD$3,M25&lt;=datos!$AD$4),datos!$AC$4,IF(AND(M25&gt;datos!$AD$4,M25&lt;=datos!$AD$5),datos!$AC$5,IF(AND(M25&gt;datos!$AD$5,M25&lt;=datos!$AD$6),datos!$AC$6,IF(M25&gt;datos!$AD$7,datos!$AC$7,0))))))</f>
        <v>0.8</v>
      </c>
      <c r="P25" s="145" t="str">
        <f>+HLOOKUP(A25,'Impacto Riesgo de Corrupción'!$D$5:$O$26,22,0)</f>
        <v>Mayor</v>
      </c>
      <c r="Q25" s="131">
        <f>+IF(P25="","",VLOOKUP(P25,datos!$AC$12:$AD$15,2,0))</f>
        <v>0.8</v>
      </c>
      <c r="R25" s="142" t="str">
        <f ca="1">_xlfn.IFERROR(INDIRECT("datos!"&amp;HLOOKUP(P25,calculo_imp,2,FALSE)&amp;VLOOKUP(N25,calculo_prob,2,FALSE)),"")</f>
        <v>Alto</v>
      </c>
      <c r="S25" s="94">
        <v>1</v>
      </c>
      <c r="T25" s="136" t="s">
        <v>457</v>
      </c>
      <c r="U25" s="181" t="s">
        <v>458</v>
      </c>
      <c r="V25" s="181" t="s">
        <v>459</v>
      </c>
      <c r="W25" s="182" t="s">
        <v>460</v>
      </c>
      <c r="X25" s="183" t="s">
        <v>461</v>
      </c>
      <c r="Y25" s="183" t="s">
        <v>462</v>
      </c>
      <c r="Z25" s="183" t="s">
        <v>463</v>
      </c>
      <c r="AA25" s="85" t="s">
        <v>464</v>
      </c>
      <c r="AB25" s="85" t="s">
        <v>453</v>
      </c>
      <c r="AC25" s="138" t="str">
        <f>IF(AD25="","",VLOOKUP(AD25,datos!$AT$6:$AU$9,2,0))</f>
        <v>Probabilidad</v>
      </c>
      <c r="AD25" s="136" t="s">
        <v>81</v>
      </c>
      <c r="AE25" s="136" t="s">
        <v>84</v>
      </c>
      <c r="AF25" s="92">
        <f>IF(AND(AD25="",AE25=""),"",IF(AD25="",0,VLOOKUP(AD25,datos!$AP$3:$AR$7,3,0))+IF(AE25="",0,VLOOKUP(AE25,datos!$AP$3:$AR$7,3,0)))</f>
        <v>0.3</v>
      </c>
      <c r="AG25" s="108" t="str">
        <f>IF(OR(AH25="",AH25=0),"",IF(AH25&lt;=datos!$AC$3,datos!$AE$3,IF(AH25&lt;=datos!$AC$4,datos!$AE$4,IF(AH25&lt;=datos!$AC$5,datos!$AE$5,IF(AH25&lt;=datos!$AC$6,datos!$AE$6,IF(AH25&lt;=datos!$AC$7,datos!$AE$7,""))))))</f>
        <v>Media</v>
      </c>
      <c r="AH25" s="109">
        <f t="shared" si="1"/>
        <v>0.56</v>
      </c>
      <c r="AI25" s="144" t="str">
        <f>+IF(AJ25&lt;=datos!$AD$11,datos!$AC$11,IF(AJ25&lt;=datos!$AD$12,datos!$AC$12,IF(AJ25&lt;=datos!$AD$13,datos!$AC$13,IF(AJ25&lt;=datos!$AD$14,datos!$AC$14,IF(AJ25&lt;=datos!$AD$15,datos!$AC$15,"")))))</f>
        <v>Mayor</v>
      </c>
      <c r="AJ25" s="109">
        <f t="shared" si="2"/>
        <v>0.8</v>
      </c>
      <c r="AK25" s="144" t="str">
        <f ca="1" t="shared" si="3"/>
        <v>Alto</v>
      </c>
      <c r="AL25" s="89" t="s">
        <v>92</v>
      </c>
      <c r="AM25" s="141" t="s">
        <v>465</v>
      </c>
      <c r="AN25" s="86" t="s">
        <v>426</v>
      </c>
      <c r="AO25" s="86"/>
      <c r="AP25" s="136"/>
      <c r="AQ25" s="133" t="s">
        <v>427</v>
      </c>
      <c r="AR25" s="147">
        <v>0</v>
      </c>
    </row>
    <row r="26" spans="1:44" ht="84" customHeight="1" thickBot="1">
      <c r="A26" s="230">
        <v>12</v>
      </c>
      <c r="B26" s="136" t="s">
        <v>30</v>
      </c>
      <c r="C26" s="136" t="s">
        <v>411</v>
      </c>
      <c r="D26" s="138" t="s">
        <v>128</v>
      </c>
      <c r="E26" s="136" t="s">
        <v>54</v>
      </c>
      <c r="F26" s="136" t="s">
        <v>466</v>
      </c>
      <c r="G26" s="136" t="s">
        <v>442</v>
      </c>
      <c r="H26" s="136" t="s">
        <v>251</v>
      </c>
      <c r="I26" s="136" t="s">
        <v>443</v>
      </c>
      <c r="J26" s="136" t="s">
        <v>467</v>
      </c>
      <c r="K26" s="148" t="s">
        <v>197</v>
      </c>
      <c r="L26" s="133" t="s">
        <v>57</v>
      </c>
      <c r="M26" s="141">
        <v>20</v>
      </c>
      <c r="N26" s="143" t="str">
        <f>_xlfn.IFERROR(VLOOKUP(O26,datos!$AC$2:$AE$7,3,0),"")</f>
        <v>Baja</v>
      </c>
      <c r="O26" s="131">
        <f>+IF(OR(M26="",M26=0),"",IF(M26&lt;=datos!$AD$3,datos!$AC$3,IF(AND(M26&gt;datos!$AD$3,M26&lt;=datos!$AD$4),datos!$AC$4,IF(AND(M26&gt;datos!$AD$4,M26&lt;=datos!$AD$5),datos!$AC$5,IF(AND(M26&gt;datos!$AD$5,M26&lt;=datos!$AD$6),datos!$AC$6,IF(M26&gt;datos!$AD$7,datos!$AC$7,0))))))</f>
        <v>0.4</v>
      </c>
      <c r="P26" s="145" t="str">
        <f>+HLOOKUP(A26,'Impacto Riesgo de Corrupción'!$D$5:$O$26,22,0)</f>
        <v>Mayor</v>
      </c>
      <c r="Q26" s="131">
        <f>+IF(P26="","",VLOOKUP(P26,datos!$AC$12:$AD$15,2,0))</f>
        <v>0.8</v>
      </c>
      <c r="R26" s="142" t="str">
        <f ca="1">_xlfn.IFERROR(INDIRECT("datos!"&amp;HLOOKUP(P26,calculo_imp,2,FALSE)&amp;VLOOKUP(N26,calculo_prob,2,FALSE)),"")</f>
        <v>Alto</v>
      </c>
      <c r="S26" s="94">
        <v>1</v>
      </c>
      <c r="T26" s="135" t="s">
        <v>468</v>
      </c>
      <c r="U26" s="181" t="s">
        <v>469</v>
      </c>
      <c r="V26" s="181" t="s">
        <v>470</v>
      </c>
      <c r="W26" s="182" t="s">
        <v>471</v>
      </c>
      <c r="X26" s="183" t="s">
        <v>472</v>
      </c>
      <c r="Y26" s="183" t="s">
        <v>473</v>
      </c>
      <c r="Z26" s="183" t="s">
        <v>474</v>
      </c>
      <c r="AA26" s="85" t="s">
        <v>475</v>
      </c>
      <c r="AB26" s="85" t="s">
        <v>453</v>
      </c>
      <c r="AC26" s="138" t="str">
        <f>IF(AD26="","",VLOOKUP(AD26,datos!$AT$6:$AU$9,2,0))</f>
        <v>Probabilidad</v>
      </c>
      <c r="AD26" s="136" t="s">
        <v>81</v>
      </c>
      <c r="AE26" s="136" t="s">
        <v>84</v>
      </c>
      <c r="AF26" s="92">
        <f>IF(AND(AD26="",AE26=""),"",IF(AD26="",0,VLOOKUP(AD26,datos!$AP$3:$AR$7,3,0))+IF(AE26="",0,VLOOKUP(AE26,datos!$AP$3:$AR$7,3,0)))</f>
        <v>0.3</v>
      </c>
      <c r="AG26" s="108" t="str">
        <f>IF(OR(AH26="",AH26=0),"",IF(AH26&lt;=datos!$AC$3,datos!$AE$3,IF(AH26&lt;=datos!$AC$4,datos!$AE$4,IF(AH26&lt;=datos!$AC$5,datos!$AE$5,IF(AH26&lt;=datos!$AC$6,datos!$AE$6,IF(AH26&lt;=datos!$AC$7,datos!$AE$7,""))))))</f>
        <v>Baja</v>
      </c>
      <c r="AH26" s="109">
        <f t="shared" si="1"/>
        <v>0.28</v>
      </c>
      <c r="AI26" s="144" t="str">
        <f>+IF(AJ26&lt;=datos!$AD$11,datos!$AC$11,IF(AJ26&lt;=datos!$AD$12,datos!$AC$12,IF(AJ26&lt;=datos!$AD$13,datos!$AC$13,IF(AJ26&lt;=datos!$AD$14,datos!$AC$14,IF(AJ26&lt;=datos!$AD$15,datos!$AC$15,"")))))</f>
        <v>Mayor</v>
      </c>
      <c r="AJ26" s="109">
        <f t="shared" si="2"/>
        <v>0.8</v>
      </c>
      <c r="AK26" s="144" t="str">
        <f ca="1" t="shared" si="3"/>
        <v>Alto</v>
      </c>
      <c r="AL26" s="89" t="s">
        <v>92</v>
      </c>
      <c r="AM26" s="140" t="s">
        <v>476</v>
      </c>
      <c r="AN26" s="86">
        <v>44561</v>
      </c>
      <c r="AO26" s="86"/>
      <c r="AP26" s="136"/>
      <c r="AQ26" s="133" t="s">
        <v>427</v>
      </c>
      <c r="AR26" s="147">
        <v>0</v>
      </c>
    </row>
    <row r="27" spans="1:44" ht="120.75" thickBot="1">
      <c r="A27" s="230">
        <v>13</v>
      </c>
      <c r="B27" s="136" t="s">
        <v>27</v>
      </c>
      <c r="C27" s="136" t="s">
        <v>269</v>
      </c>
      <c r="D27" s="138" t="s">
        <v>127</v>
      </c>
      <c r="E27" s="136" t="s">
        <v>55</v>
      </c>
      <c r="F27" s="136" t="s">
        <v>477</v>
      </c>
      <c r="G27" s="136" t="s">
        <v>478</v>
      </c>
      <c r="H27" s="136" t="s">
        <v>252</v>
      </c>
      <c r="I27" s="136" t="s">
        <v>479</v>
      </c>
      <c r="J27" s="136" t="s">
        <v>480</v>
      </c>
      <c r="K27" s="148" t="s">
        <v>197</v>
      </c>
      <c r="L27" s="133" t="s">
        <v>57</v>
      </c>
      <c r="M27" s="141">
        <v>36</v>
      </c>
      <c r="N27" s="143" t="str">
        <f>_xlfn.IFERROR(VLOOKUP(O27,datos!$AC$2:$AE$7,3,0),"")</f>
        <v>Media</v>
      </c>
      <c r="O27" s="131">
        <f>+IF(OR(M27="",M27=0),"",IF(M27&lt;=datos!$AD$3,datos!$AC$3,IF(AND(M27&gt;datos!$AD$3,M27&lt;=datos!$AD$4),datos!$AC$4,IF(AND(M27&gt;datos!$AD$4,M27&lt;=datos!$AD$5),datos!$AC$5,IF(AND(M27&gt;datos!$AD$5,M27&lt;=datos!$AD$6),datos!$AC$6,IF(M27&gt;datos!$AD$7,datos!$AC$7,0))))))</f>
        <v>0.6</v>
      </c>
      <c r="P27" s="145" t="str">
        <f>+HLOOKUP(A27,'Impacto Riesgo de Corrupción'!$D$5:$AS$26,22,0)</f>
        <v>Mayor</v>
      </c>
      <c r="Q27" s="131">
        <f>+IF(P27="","",VLOOKUP(P27,datos!$AC$12:$AD$15,2,0))</f>
        <v>0.8</v>
      </c>
      <c r="R27" s="142" t="str">
        <f ca="1">_xlfn.IFERROR(INDIRECT("datos!"&amp;HLOOKUP(P27,calculo_imp,2,FALSE)&amp;VLOOKUP(N27,calculo_prob,2,FALSE)),"")</f>
        <v>Alto</v>
      </c>
      <c r="S27" s="94">
        <v>1</v>
      </c>
      <c r="T27" s="136" t="s">
        <v>481</v>
      </c>
      <c r="U27" s="136" t="s">
        <v>482</v>
      </c>
      <c r="V27" s="85" t="s">
        <v>483</v>
      </c>
      <c r="W27" s="85" t="s">
        <v>484</v>
      </c>
      <c r="X27" s="85" t="s">
        <v>485</v>
      </c>
      <c r="Y27" s="85" t="s">
        <v>486</v>
      </c>
      <c r="Z27" s="158" t="s">
        <v>487</v>
      </c>
      <c r="AA27" s="85" t="s">
        <v>488</v>
      </c>
      <c r="AB27" s="85" t="s">
        <v>489</v>
      </c>
      <c r="AC27" s="138" t="str">
        <f>IF(AD27="","",VLOOKUP(AD27,datos!$AT$6:$AU$9,2,0))</f>
        <v>Probabilidad</v>
      </c>
      <c r="AD27" s="136" t="s">
        <v>80</v>
      </c>
      <c r="AE27" s="136" t="s">
        <v>84</v>
      </c>
      <c r="AF27" s="92">
        <f>IF(AND(AD27="",AE27=""),"",IF(AD27="",0,VLOOKUP(AD27,datos!$AP$3:$AR$7,3,0))+IF(AE27="",0,VLOOKUP(AE27,datos!$AP$3:$AR$7,3,0)))</f>
        <v>0.4</v>
      </c>
      <c r="AG27" s="108" t="str">
        <f>IF(OR(AH27="",AH27=0),"",IF(AH27&lt;=datos!$AC$3,datos!$AE$3,IF(AH27&lt;=datos!$AC$4,datos!$AE$4,IF(AH27&lt;=datos!$AC$5,datos!$AE$5,IF(AH27&lt;=datos!$AC$6,datos!$AE$6,IF(AH27&lt;=datos!$AC$7,datos!$AE$7,""))))))</f>
        <v>Baja</v>
      </c>
      <c r="AH27" s="109">
        <f>IF(AC27="","",IF(S27=1,IF(AC27="Probabilidad",O27-(O27*AF27),O27),IF(AC27="Probabilidad",AH26-(AH26*AF27),AH26)))</f>
        <v>0.36</v>
      </c>
      <c r="AI27" s="144" t="str">
        <f>+IF(AJ27&lt;=datos!$AD$11,datos!$AC$11,IF(AJ27&lt;=datos!$AD$12,datos!$AC$12,IF(AJ27&lt;=datos!$AD$13,datos!$AC$13,IF(AJ27&lt;=datos!$AD$14,datos!$AC$14,IF(AJ27&lt;=datos!$AD$15,datos!$AC$15,"")))))</f>
        <v>Mayor</v>
      </c>
      <c r="AJ27" s="109">
        <f>IF(AC27="","",IF(S27=1,IF(AC27="Impacto",Q27-(Q27*AF27),Q27),IF(AC27="Impacto",AJ26-(AJ26*AF27),AJ26)))</f>
        <v>0.8</v>
      </c>
      <c r="AK27" s="144" t="str">
        <f ca="1">_xlfn.IFERROR(INDIRECT("datos!"&amp;HLOOKUP(AI27,calculo_imp,2,FALSE)&amp;VLOOKUP(AG27,calculo_prob,2,FALSE)),"")</f>
        <v>Alto</v>
      </c>
      <c r="AL27" s="89" t="s">
        <v>26</v>
      </c>
      <c r="AM27" s="141"/>
      <c r="AN27" s="86"/>
      <c r="AO27" s="86"/>
      <c r="AP27" s="136"/>
      <c r="AQ27" s="146"/>
      <c r="AR27" s="147">
        <v>0</v>
      </c>
    </row>
    <row r="28" spans="1:44" ht="84.75" thickBot="1">
      <c r="A28" s="296">
        <v>14</v>
      </c>
      <c r="B28" s="246" t="s">
        <v>39</v>
      </c>
      <c r="C28" s="246" t="s">
        <v>269</v>
      </c>
      <c r="D28" s="299" t="str">
        <f>_xlfn.IFERROR(VLOOKUP(B28,'[1]datos'!$B$1:$C$21,2,0),"")</f>
        <v>Gestionar durante cada vigencia los ingresos y gastos del Fondo Financiero Distrital de Salud y la Secretaría Distrital de Salud, a través de su oportuna programación, registro, seguimiento y control, así como su preparación, presentación y publicación.</v>
      </c>
      <c r="E28" s="246" t="s">
        <v>55</v>
      </c>
      <c r="F28" s="246" t="s">
        <v>490</v>
      </c>
      <c r="G28" s="136" t="s">
        <v>491</v>
      </c>
      <c r="H28" s="184" t="s">
        <v>252</v>
      </c>
      <c r="I28" s="184" t="s">
        <v>492</v>
      </c>
      <c r="J28" s="301" t="s">
        <v>493</v>
      </c>
      <c r="K28" s="241" t="s">
        <v>197</v>
      </c>
      <c r="L28" s="264" t="s">
        <v>210</v>
      </c>
      <c r="M28" s="305">
        <v>3</v>
      </c>
      <c r="N28" s="252" t="str">
        <f>_xlfn.IFERROR(VLOOKUP(O28,datos!$AC$2:$AE$7,3,0),"")</f>
        <v>Baja</v>
      </c>
      <c r="O28" s="254">
        <f>+IF(OR(M28="",M28=0),"",IF(M28&lt;=datos!$AD$3,datos!$AC$3,IF(AND(M28&gt;datos!$AD$3,M28&lt;=datos!$AD$4),datos!$AC$4,IF(AND(M28&gt;datos!$AD$4,M28&lt;=datos!$AD$5),datos!$AC$5,IF(AND(M28&gt;datos!$AD$5,M28&lt;=datos!$AD$6),datos!$AC$6,IF(M28&gt;datos!$AD$7,datos!$AC$7,0))))))</f>
        <v>0.4</v>
      </c>
      <c r="P28" s="256" t="str">
        <f>+HLOOKUP(A28,'Impacto Riesgo de Corrupción'!$D$5:$AS$26,22,0)</f>
        <v>Moderado</v>
      </c>
      <c r="Q28" s="254">
        <f>+IF(P28="","",VLOOKUP(P28,datos!$AC$12:$AD$15,2,0))</f>
        <v>0.6</v>
      </c>
      <c r="R28" s="258" t="str">
        <f ca="1">_xlfn.IFERROR(INDIRECT("datos!"&amp;HLOOKUP(P28,calculo_imp,2,FALSE)&amp;VLOOKUP(N28,calculo_prob,2,FALSE)),"")</f>
        <v>Moderado</v>
      </c>
      <c r="S28" s="185">
        <v>1</v>
      </c>
      <c r="T28" s="170" t="s">
        <v>494</v>
      </c>
      <c r="U28" s="170" t="s">
        <v>495</v>
      </c>
      <c r="V28" s="170" t="s">
        <v>496</v>
      </c>
      <c r="W28" s="170" t="s">
        <v>497</v>
      </c>
      <c r="X28" s="170" t="s">
        <v>498</v>
      </c>
      <c r="Y28" s="170" t="s">
        <v>499</v>
      </c>
      <c r="Z28" s="170" t="s">
        <v>500</v>
      </c>
      <c r="AA28" s="170" t="s">
        <v>500</v>
      </c>
      <c r="AB28" s="170" t="s">
        <v>501</v>
      </c>
      <c r="AC28" s="138" t="str">
        <f>IF(AD28="","",VLOOKUP(AD28,datos!$AT$6:$AU$9,2,0))</f>
        <v>Probabilidad</v>
      </c>
      <c r="AD28" s="189" t="s">
        <v>80</v>
      </c>
      <c r="AE28" s="189" t="s">
        <v>84</v>
      </c>
      <c r="AF28" s="92">
        <f>IF(AND(AD28="",AE28=""),"",IF(AD28="",0,VLOOKUP(AD28,datos!$AP$3:$AR$7,3,0))+IF(AE28="",0,VLOOKUP(AE28,datos!$AP$3:$AR$7,3,0)))</f>
        <v>0.4</v>
      </c>
      <c r="AG28" s="108" t="str">
        <f>IF(OR(AH28="",AH28=0),"",IF(AH28&lt;=datos!$AC$3,datos!$AE$3,IF(AH28&lt;=datos!$AC$4,datos!$AE$4,IF(AH28&lt;=datos!$AC$5,datos!$AE$5,IF(AH28&lt;=datos!$AC$6,datos!$AE$6,IF(AH28&lt;=datos!$AC$7,datos!$AE$7,""))))))</f>
        <v>Baja</v>
      </c>
      <c r="AH28" s="109">
        <f>IF(AC28="","",IF(S28=1,IF(AC28="Probabilidad",O28-(O28*AF28),O28),IF(AC28="Probabilidad",AH27-(AH27*AF28),AH27)))</f>
        <v>0.24</v>
      </c>
      <c r="AI28" s="144" t="str">
        <f>+IF(AJ28&lt;=datos!$AD$11,datos!$AC$11,IF(AJ28&lt;=datos!$AD$12,datos!$AC$12,IF(AJ28&lt;=datos!$AD$13,datos!$AC$13,IF(AJ28&lt;=datos!$AD$14,datos!$AC$14,IF(AJ28&lt;=datos!$AD$15,datos!$AC$15,"")))))</f>
        <v>Moderado</v>
      </c>
      <c r="AJ28" s="109">
        <f>IF(AC28="","",IF(S28=1,IF(AC28="Impacto",Q28-(Q28*AF28),Q28),IF(AC28="Impacto",AJ27-(AJ27*AF28),AJ27)))</f>
        <v>0.6</v>
      </c>
      <c r="AK28" s="144" t="str">
        <f ca="1">_xlfn.IFERROR(INDIRECT("datos!"&amp;HLOOKUP(AI28,calculo_imp,2,FALSE)&amp;VLOOKUP(AG28,calculo_prob,2,FALSE)),"")</f>
        <v>Moderado</v>
      </c>
      <c r="AL28" s="290" t="s">
        <v>92</v>
      </c>
      <c r="AM28" s="292" t="s">
        <v>502</v>
      </c>
      <c r="AN28" s="190"/>
      <c r="AO28" s="190"/>
      <c r="AP28" s="184"/>
      <c r="AQ28" s="294" t="s">
        <v>503</v>
      </c>
      <c r="AR28" s="303">
        <v>0</v>
      </c>
    </row>
    <row r="29" spans="1:44" ht="60.75" thickBot="1">
      <c r="A29" s="297"/>
      <c r="B29" s="298"/>
      <c r="C29" s="298"/>
      <c r="D29" s="300"/>
      <c r="E29" s="298"/>
      <c r="F29" s="298"/>
      <c r="G29" s="136" t="s">
        <v>504</v>
      </c>
      <c r="H29" s="184" t="s">
        <v>252</v>
      </c>
      <c r="I29" s="184" t="s">
        <v>492</v>
      </c>
      <c r="J29" s="302"/>
      <c r="K29" s="241"/>
      <c r="L29" s="265"/>
      <c r="M29" s="306"/>
      <c r="N29" s="253"/>
      <c r="O29" s="255"/>
      <c r="P29" s="257"/>
      <c r="Q29" s="255" t="e">
        <f>IF(OR(#REF!=datos!$AB$10,#REF!=datos!$AB$16),"",VLOOKUP(#REF!,datos!$AA$10:$AC$21,3,0))</f>
        <v>#REF!</v>
      </c>
      <c r="R29" s="259"/>
      <c r="S29" s="185">
        <v>2</v>
      </c>
      <c r="T29" s="170" t="s">
        <v>505</v>
      </c>
      <c r="U29" s="184" t="s">
        <v>506</v>
      </c>
      <c r="V29" s="184" t="s">
        <v>496</v>
      </c>
      <c r="W29" s="184" t="s">
        <v>497</v>
      </c>
      <c r="X29" s="184" t="s">
        <v>507</v>
      </c>
      <c r="Y29" s="184" t="s">
        <v>508</v>
      </c>
      <c r="Z29" s="184" t="s">
        <v>500</v>
      </c>
      <c r="AA29" s="184" t="s">
        <v>509</v>
      </c>
      <c r="AB29" s="170" t="s">
        <v>501</v>
      </c>
      <c r="AC29" s="138" t="str">
        <f>IF(AD29="","",VLOOKUP(AD29,datos!$AT$6:$AU$9,2,0))</f>
        <v>Probabilidad</v>
      </c>
      <c r="AD29" s="189" t="s">
        <v>80</v>
      </c>
      <c r="AE29" s="189" t="s">
        <v>84</v>
      </c>
      <c r="AF29" s="92">
        <f>IF(AND(AD29="",AE29=""),"",IF(AD29="",0,VLOOKUP(AD29,datos!$AP$3:$AR$7,3,0))+IF(AE29="",0,VLOOKUP(AE29,datos!$AP$3:$AR$7,3,0)))</f>
        <v>0.4</v>
      </c>
      <c r="AG29" s="108" t="str">
        <f>IF(OR(AH29="",AH29=0),"",IF(AH29&lt;=datos!$AC$3,datos!$AE$3,IF(AH29&lt;=datos!$AC$4,datos!$AE$4,IF(AH29&lt;=datos!$AC$5,datos!$AE$5,IF(AH29&lt;=datos!$AC$6,datos!$AE$6,IF(AH29&lt;=datos!$AC$7,datos!$AE$7,""))))))</f>
        <v>Muy Baja</v>
      </c>
      <c r="AH29" s="109">
        <f>IF(AC29="","",IF(S29=1,IF(AC29="Probabilidad",O29-(O29*AF29),O29),IF(AC29="Probabilidad",AH28-(AH28*AF29),AH28)))</f>
        <v>0.144</v>
      </c>
      <c r="AI29" s="144" t="str">
        <f>+IF(AJ29&lt;=datos!$AD$11,datos!$AC$11,IF(AJ29&lt;=datos!$AD$12,datos!$AC$12,IF(AJ29&lt;=datos!$AD$13,datos!$AC$13,IF(AJ29&lt;=datos!$AD$14,datos!$AC$14,IF(AJ29&lt;=datos!$AD$15,datos!$AC$15,"")))))</f>
        <v>Moderado</v>
      </c>
      <c r="AJ29" s="109">
        <f>IF(AC29="","",IF(S29=1,IF(AC29="Impacto",Q29-(Q29*AF29),Q29),IF(AC29="Impacto",AJ28-(AJ28*AF29),AJ28)))</f>
        <v>0.6</v>
      </c>
      <c r="AK29" s="144" t="str">
        <f ca="1">_xlfn.IFERROR(INDIRECT("datos!"&amp;HLOOKUP(AI29,calculo_imp,2,FALSE)&amp;VLOOKUP(AG29,calculo_prob,2,FALSE)),"")</f>
        <v>Moderado</v>
      </c>
      <c r="AL29" s="291"/>
      <c r="AM29" s="293"/>
      <c r="AN29" s="190"/>
      <c r="AO29" s="190"/>
      <c r="AP29" s="184"/>
      <c r="AQ29" s="295"/>
      <c r="AR29" s="304"/>
    </row>
    <row r="30" spans="1:44" ht="180.75" thickBot="1">
      <c r="A30" s="230">
        <v>15</v>
      </c>
      <c r="B30" s="136" t="s">
        <v>39</v>
      </c>
      <c r="C30" s="136" t="s">
        <v>269</v>
      </c>
      <c r="D30" s="138" t="str">
        <f>_xlfn.IFERROR(VLOOKUP(B30,'[1]datos'!$B$1:$C$21,2,0),"")</f>
        <v>Gestionar durante cada vigencia los ingresos y gastos del Fondo Financiero Distrital de Salud y la Secretaría Distrital de Salud, a través de su oportuna programación, registro, seguimiento y control, así como su preparación, presentación y publicación.</v>
      </c>
      <c r="E30" s="136" t="s">
        <v>53</v>
      </c>
      <c r="F30" s="136" t="s">
        <v>510</v>
      </c>
      <c r="G30" s="136" t="s">
        <v>511</v>
      </c>
      <c r="H30" s="184" t="s">
        <v>252</v>
      </c>
      <c r="I30" s="184" t="s">
        <v>492</v>
      </c>
      <c r="J30" s="170" t="s">
        <v>512</v>
      </c>
      <c r="K30" s="135" t="s">
        <v>197</v>
      </c>
      <c r="L30" s="187" t="s">
        <v>210</v>
      </c>
      <c r="M30" s="188">
        <v>24</v>
      </c>
      <c r="N30" s="143" t="str">
        <f>_xlfn.IFERROR(VLOOKUP(O30,datos!$AC$2:$AE$7,3,0),"")</f>
        <v>Baja</v>
      </c>
      <c r="O30" s="131">
        <f>+IF(OR(M30="",M30=0),"",IF(M30&lt;=datos!$AD$3,datos!$AC$3,IF(AND(M30&gt;datos!$AD$3,M30&lt;=datos!$AD$4),datos!$AC$4,IF(AND(M30&gt;datos!$AD$4,M30&lt;=datos!$AD$5),datos!$AC$5,IF(AND(M30&gt;datos!$AD$5,M30&lt;=datos!$AD$6),datos!$AC$6,IF(M30&gt;datos!$AD$7,datos!$AC$7,0))))))</f>
        <v>0.4</v>
      </c>
      <c r="P30" s="145" t="str">
        <f>+HLOOKUP(A30,'Impacto Riesgo de Corrupción'!$D$5:$AS$26,22,0)</f>
        <v>Moderado</v>
      </c>
      <c r="Q30" s="131">
        <f>+IF(P30="","",VLOOKUP(P30,datos!$AC$12:$AD$15,2,0))</f>
        <v>0.6</v>
      </c>
      <c r="R30" s="142" t="str">
        <f ca="1">_xlfn.IFERROR(INDIRECT("datos!"&amp;HLOOKUP(P30,calculo_imp,2,FALSE)&amp;VLOOKUP(N30,calculo_prob,2,FALSE)),"")</f>
        <v>Moderado</v>
      </c>
      <c r="S30" s="94">
        <v>1</v>
      </c>
      <c r="T30" s="136" t="s">
        <v>513</v>
      </c>
      <c r="U30" s="186" t="s">
        <v>514</v>
      </c>
      <c r="V30" s="186" t="s">
        <v>515</v>
      </c>
      <c r="W30" s="186" t="s">
        <v>516</v>
      </c>
      <c r="X30" s="186" t="s">
        <v>517</v>
      </c>
      <c r="Y30" s="186" t="s">
        <v>518</v>
      </c>
      <c r="Z30" s="186" t="s">
        <v>519</v>
      </c>
      <c r="AA30" s="186" t="s">
        <v>520</v>
      </c>
      <c r="AB30" s="85" t="s">
        <v>521</v>
      </c>
      <c r="AC30" s="138" t="str">
        <f>IF(AD30="","",VLOOKUP(AD30,datos!$AT$6:$AU$9,2,0))</f>
        <v>Probabilidad</v>
      </c>
      <c r="AD30" s="189" t="s">
        <v>80</v>
      </c>
      <c r="AE30" s="189" t="s">
        <v>84</v>
      </c>
      <c r="AF30" s="92">
        <f>IF(AND(AD30="",AE30=""),"",IF(AD30="",0,VLOOKUP(AD30,datos!$AP$3:$AR$7,3,0))+IF(AE30="",0,VLOOKUP(AE30,datos!$AP$3:$AR$7,3,0)))</f>
        <v>0.4</v>
      </c>
      <c r="AG30" s="108" t="str">
        <f>IF(OR(AH30="",AH30=0),"",IF(AH30&lt;=datos!$AC$3,datos!$AE$3,IF(AH30&lt;=datos!$AC$4,datos!$AE$4,IF(AH30&lt;=datos!$AC$5,datos!$AE$5,IF(AH30&lt;=datos!$AC$6,datos!$AE$6,IF(AH30&lt;=datos!$AC$7,datos!$AE$7,""))))))</f>
        <v>Baja</v>
      </c>
      <c r="AH30" s="109">
        <f>IF(AC30="","",IF(S30=1,IF(AC30="Probabilidad",O30-(O30*AF30),O30),IF(AC30="Probabilidad",AH29-(AH29*AF30),AH29)))</f>
        <v>0.24</v>
      </c>
      <c r="AI30" s="144" t="str">
        <f>+IF(AJ30&lt;=datos!$AD$11,datos!$AC$11,IF(AJ30&lt;=datos!$AD$12,datos!$AC$12,IF(AJ30&lt;=datos!$AD$13,datos!$AC$13,IF(AJ30&lt;=datos!$AD$14,datos!$AC$14,IF(AJ30&lt;=datos!$AD$15,datos!$AC$15,"")))))</f>
        <v>Moderado</v>
      </c>
      <c r="AJ30" s="109">
        <f>IF(AC30="","",IF(S30=1,IF(AC30="Impacto",Q30-(Q30*AF30),Q30),IF(AC30="Impacto",AJ29-(AJ29*AF30),AJ29)))</f>
        <v>0.6</v>
      </c>
      <c r="AK30" s="144" t="str">
        <f ca="1">_xlfn.IFERROR(INDIRECT("datos!"&amp;HLOOKUP(AI30,calculo_imp,2,FALSE)&amp;VLOOKUP(AG30,calculo_prob,2,FALSE)),"")</f>
        <v>Moderado</v>
      </c>
      <c r="AL30" s="191" t="s">
        <v>92</v>
      </c>
      <c r="AM30" s="188" t="s">
        <v>522</v>
      </c>
      <c r="AN30" s="192">
        <v>44440</v>
      </c>
      <c r="AO30" s="192"/>
      <c r="AP30" s="189"/>
      <c r="AQ30" s="186" t="s">
        <v>523</v>
      </c>
      <c r="AR30" s="193">
        <v>0</v>
      </c>
    </row>
    <row r="31" spans="1:44" ht="276.75" thickBot="1">
      <c r="A31" s="238">
        <v>16</v>
      </c>
      <c r="B31" s="240" t="s">
        <v>38</v>
      </c>
      <c r="C31" s="240" t="s">
        <v>266</v>
      </c>
      <c r="D31" s="274" t="s">
        <v>135</v>
      </c>
      <c r="E31" s="240" t="s">
        <v>55</v>
      </c>
      <c r="F31" s="240" t="s">
        <v>524</v>
      </c>
      <c r="G31" s="240" t="s">
        <v>525</v>
      </c>
      <c r="H31" s="240" t="s">
        <v>252</v>
      </c>
      <c r="I31" s="313"/>
      <c r="J31" s="285" t="s">
        <v>526</v>
      </c>
      <c r="K31" s="246" t="s">
        <v>197</v>
      </c>
      <c r="L31" s="248" t="s">
        <v>57</v>
      </c>
      <c r="M31" s="250">
        <v>365</v>
      </c>
      <c r="N31" s="252" t="str">
        <f>_xlfn.IFERROR(VLOOKUP(O31,datos!$AC$2:$AE$7,3,0),"")</f>
        <v>Media</v>
      </c>
      <c r="O31" s="254">
        <f>+IF(OR(M31="",M31=0),"",IF(M31&lt;=datos!$AD$3,datos!$AC$3,IF(AND(M31&gt;datos!$AD$3,M31&lt;=datos!$AD$4),datos!$AC$4,IF(AND(M31&gt;datos!$AD$4,M31&lt;=datos!$AD$5),datos!$AC$5,IF(AND(M31&gt;datos!$AD$5,M31&lt;=datos!$AD$6),datos!$AC$6,IF(M31&gt;datos!$AD$7,datos!$AC$7,0))))))</f>
        <v>0.6</v>
      </c>
      <c r="P31" s="256" t="str">
        <f>+HLOOKUP(A31,'Impacto Riesgo de Corrupción'!$D$5:$AS$26,22,0)</f>
        <v>Catastrófico</v>
      </c>
      <c r="Q31" s="254">
        <f>+IF(P31="","",VLOOKUP(P31,datos!$AC$12:$AD$15,2,0))</f>
        <v>1</v>
      </c>
      <c r="R31" s="258" t="str">
        <f ca="1">_xlfn.IFERROR(INDIRECT("datos!"&amp;HLOOKUP(P31,calculo_imp,2,FALSE)&amp;VLOOKUP(N31,calculo_prob,2,FALSE)),"")</f>
        <v>Extremo</v>
      </c>
      <c r="S31" s="94">
        <v>1</v>
      </c>
      <c r="T31" s="136" t="s">
        <v>527</v>
      </c>
      <c r="U31" s="85" t="s">
        <v>528</v>
      </c>
      <c r="V31" s="85" t="s">
        <v>529</v>
      </c>
      <c r="W31" s="158" t="s">
        <v>530</v>
      </c>
      <c r="X31" s="158" t="s">
        <v>531</v>
      </c>
      <c r="Y31" s="85" t="s">
        <v>532</v>
      </c>
      <c r="Z31" s="85" t="s">
        <v>533</v>
      </c>
      <c r="AA31" s="158" t="s">
        <v>534</v>
      </c>
      <c r="AB31" s="158" t="s">
        <v>535</v>
      </c>
      <c r="AC31" s="138" t="str">
        <f>IF(AD31="","",VLOOKUP(AD31,datos!$AT$6:$AU$9,2,0))</f>
        <v>Probabilidad</v>
      </c>
      <c r="AD31" s="136" t="s">
        <v>80</v>
      </c>
      <c r="AE31" s="136" t="s">
        <v>84</v>
      </c>
      <c r="AF31" s="92">
        <f>IF(AND(AD31="",AE31=""),"",IF(AD31="",0,VLOOKUP(AD31,datos!$AP$3:$AR$7,3,0))+IF(AE31="",0,VLOOKUP(AE31,datos!$AP$3:$AR$7,3,0)))</f>
        <v>0.4</v>
      </c>
      <c r="AG31" s="108" t="str">
        <f>IF(OR(AH31="",AH31=0),"",IF(AH31&lt;=datos!$AC$3,datos!$AE$3,IF(AH31&lt;=datos!$AC$4,datos!$AE$4,IF(AH31&lt;=datos!$AC$5,datos!$AE$5,IF(AH31&lt;=datos!$AC$6,datos!$AE$6,IF(AH31&lt;=datos!$AC$7,datos!$AE$7,""))))))</f>
        <v>Baja</v>
      </c>
      <c r="AH31" s="109">
        <f>IF(AC31="","",IF(S31=1,IF(AC31="Probabilidad",O31-(O31*AF31),O31),IF(AC31="Probabilidad",AH30-(AH30*AF31),AH30)))</f>
        <v>0.36</v>
      </c>
      <c r="AI31" s="144" t="str">
        <f>+IF(AJ31&lt;=datos!$AD$11,datos!$AC$11,IF(AJ31&lt;=datos!$AD$12,datos!$AC$12,IF(AJ31&lt;=datos!$AD$13,datos!$AC$13,IF(AJ31&lt;=datos!$AD$14,datos!$AC$14,IF(AJ31&lt;=datos!$AD$15,datos!$AC$15,"")))))</f>
        <v>Catastrófico</v>
      </c>
      <c r="AJ31" s="109">
        <f>IF(AC31="","",IF(S31=1,IF(AC31="Impacto",Q31-(Q31*AF31),Q31),IF(AC31="Impacto",AJ30-(AJ30*AF31),AJ30)))</f>
        <v>1</v>
      </c>
      <c r="AK31" s="144" t="str">
        <f ca="1">_xlfn.IFERROR(INDIRECT("datos!"&amp;HLOOKUP(AI31,calculo_imp,2,FALSE)&amp;VLOOKUP(AG31,calculo_prob,2,FALSE)),"")</f>
        <v>Extremo</v>
      </c>
      <c r="AL31" s="89" t="s">
        <v>92</v>
      </c>
      <c r="AM31" s="141" t="s">
        <v>536</v>
      </c>
      <c r="AN31" s="86">
        <v>44197</v>
      </c>
      <c r="AO31" s="86">
        <v>44571</v>
      </c>
      <c r="AP31" s="136" t="s">
        <v>537</v>
      </c>
      <c r="AQ31" s="234" t="s">
        <v>538</v>
      </c>
      <c r="AR31" s="236">
        <v>0</v>
      </c>
    </row>
    <row r="32" spans="1:44" ht="168.75" thickBot="1">
      <c r="A32" s="239"/>
      <c r="B32" s="241"/>
      <c r="C32" s="241"/>
      <c r="D32" s="275"/>
      <c r="E32" s="241"/>
      <c r="F32" s="241"/>
      <c r="G32" s="241"/>
      <c r="H32" s="241"/>
      <c r="I32" s="314"/>
      <c r="J32" s="276"/>
      <c r="K32" s="247"/>
      <c r="L32" s="249"/>
      <c r="M32" s="251"/>
      <c r="N32" s="253"/>
      <c r="O32" s="255"/>
      <c r="P32" s="257"/>
      <c r="Q32" s="255" t="e">
        <f>IF(OR(#REF!=datos!$AB$10,#REF!=datos!$AB$16),"",VLOOKUP(#REF!,datos!$AA$10:$AC$21,3,0))</f>
        <v>#REF!</v>
      </c>
      <c r="R32" s="259"/>
      <c r="S32" s="96">
        <v>2</v>
      </c>
      <c r="T32" s="135" t="s">
        <v>539</v>
      </c>
      <c r="U32" s="194" t="s">
        <v>540</v>
      </c>
      <c r="V32" s="194" t="s">
        <v>541</v>
      </c>
      <c r="W32" s="194" t="s">
        <v>542</v>
      </c>
      <c r="X32" s="194" t="s">
        <v>543</v>
      </c>
      <c r="Y32" s="194" t="s">
        <v>544</v>
      </c>
      <c r="Z32" s="195" t="s">
        <v>545</v>
      </c>
      <c r="AA32" s="158" t="s">
        <v>534</v>
      </c>
      <c r="AB32" s="159" t="s">
        <v>546</v>
      </c>
      <c r="AC32" s="138" t="str">
        <f>IF(AD32="","",VLOOKUP(AD32,datos!$AT$6:$AU$9,2,0))</f>
        <v>Probabilidad</v>
      </c>
      <c r="AD32" s="135" t="s">
        <v>80</v>
      </c>
      <c r="AE32" s="135" t="s">
        <v>84</v>
      </c>
      <c r="AF32" s="92">
        <f>IF(AND(AD32="",AE32=""),"",IF(AD32="",0,VLOOKUP(AD32,datos!$AP$3:$AR$7,3,0))+IF(AE32="",0,VLOOKUP(AE32,datos!$AP$3:$AR$7,3,0)))</f>
        <v>0.4</v>
      </c>
      <c r="AG32" s="108" t="str">
        <f>IF(OR(AH32="",AH32=0),"",IF(AH32&lt;=datos!$AC$3,datos!$AE$3,IF(AH32&lt;=datos!$AC$4,datos!$AE$4,IF(AH32&lt;=datos!$AC$5,datos!$AE$5,IF(AH32&lt;=datos!$AC$6,datos!$AE$6,IF(AH32&lt;=datos!$AC$7,datos!$AE$7,""))))))</f>
        <v>Baja</v>
      </c>
      <c r="AH32" s="109">
        <f>IF(AC32="","",IF(S32=1,IF(AC32="Probabilidad",O32-(O32*AF32),O32),IF(AC32="Probabilidad",AH31-(AH31*AF32),AH31)))</f>
        <v>0.216</v>
      </c>
      <c r="AI32" s="144" t="str">
        <f>+IF(AJ32&lt;=datos!$AD$11,datos!$AC$11,IF(AJ32&lt;=datos!$AD$12,datos!$AC$12,IF(AJ32&lt;=datos!$AD$13,datos!$AC$13,IF(AJ32&lt;=datos!$AD$14,datos!$AC$14,IF(AJ32&lt;=datos!$AD$15,datos!$AC$15,"")))))</f>
        <v>Catastrófico</v>
      </c>
      <c r="AJ32" s="109">
        <f>IF(AC32="","",IF(S32=1,IF(AC32="Impacto",Q32-(Q32*AF32),Q32),IF(AC32="Impacto",AJ31-(AJ31*AF32),AJ31)))</f>
        <v>1</v>
      </c>
      <c r="AK32" s="144" t="str">
        <f ca="1">_xlfn.IFERROR(INDIRECT("datos!"&amp;HLOOKUP(AI32,calculo_imp,2,FALSE)&amp;VLOOKUP(AG32,calculo_prob,2,FALSE)),"")</f>
        <v>Extremo</v>
      </c>
      <c r="AL32" s="90" t="s">
        <v>92</v>
      </c>
      <c r="AM32" s="140" t="s">
        <v>547</v>
      </c>
      <c r="AN32" s="86">
        <v>44197</v>
      </c>
      <c r="AO32" s="86">
        <v>44571</v>
      </c>
      <c r="AP32" s="136" t="s">
        <v>537</v>
      </c>
      <c r="AQ32" s="235"/>
      <c r="AR32" s="237"/>
    </row>
    <row r="33" spans="1:44" ht="60.75" thickBot="1">
      <c r="A33" s="238">
        <v>17</v>
      </c>
      <c r="B33" s="240" t="s">
        <v>41</v>
      </c>
      <c r="C33" s="240" t="s">
        <v>269</v>
      </c>
      <c r="D33" s="274" t="s">
        <v>138</v>
      </c>
      <c r="E33" s="240" t="s">
        <v>54</v>
      </c>
      <c r="F33" s="240" t="s">
        <v>548</v>
      </c>
      <c r="G33" s="240" t="s">
        <v>549</v>
      </c>
      <c r="H33" s="240" t="s">
        <v>252</v>
      </c>
      <c r="I33" s="240"/>
      <c r="J33" s="240" t="s">
        <v>550</v>
      </c>
      <c r="K33" s="246" t="s">
        <v>197</v>
      </c>
      <c r="L33" s="248" t="s">
        <v>59</v>
      </c>
      <c r="M33" s="250">
        <v>240</v>
      </c>
      <c r="N33" s="252" t="str">
        <f>_xlfn.IFERROR(VLOOKUP(O33,datos!$AC$2:$AE$7,3,0),"")</f>
        <v>Media</v>
      </c>
      <c r="O33" s="254">
        <f>+IF(OR(M33="",M33=0),"",IF(M33&lt;=datos!$AD$3,datos!$AC$3,IF(AND(M33&gt;datos!$AD$3,M33&lt;=datos!$AD$4),datos!$AC$4,IF(AND(M33&gt;datos!$AD$4,M33&lt;=datos!$AD$5),datos!$AC$5,IF(AND(M33&gt;datos!$AD$5,M33&lt;=datos!$AD$6),datos!$AC$6,IF(M33&gt;datos!$AD$7,datos!$AC$7,0))))))</f>
        <v>0.6</v>
      </c>
      <c r="P33" s="256" t="str">
        <f>+HLOOKUP(A33,'Impacto Riesgo de Corrupción'!$D$5:$AS$26,22,0)</f>
        <v>Mayor</v>
      </c>
      <c r="Q33" s="254">
        <f>+IF(P33="","",VLOOKUP(P33,datos!$AC$12:$AD$15,2,0))</f>
        <v>0.8</v>
      </c>
      <c r="R33" s="258" t="str">
        <f ca="1">_xlfn.IFERROR(INDIRECT("datos!"&amp;HLOOKUP(P33,calculo_imp,2,FALSE)&amp;VLOOKUP(N33,calculo_prob,2,FALSE)),"")</f>
        <v>Alto</v>
      </c>
      <c r="S33" s="94">
        <v>1</v>
      </c>
      <c r="T33" s="95" t="s">
        <v>551</v>
      </c>
      <c r="U33" s="159" t="s">
        <v>552</v>
      </c>
      <c r="V33" s="159" t="s">
        <v>553</v>
      </c>
      <c r="W33" s="159" t="s">
        <v>554</v>
      </c>
      <c r="X33" s="159" t="s">
        <v>555</v>
      </c>
      <c r="Y33" s="159" t="s">
        <v>556</v>
      </c>
      <c r="Z33" s="159" t="s">
        <v>557</v>
      </c>
      <c r="AA33" s="159" t="s">
        <v>557</v>
      </c>
      <c r="AB33" s="85" t="s">
        <v>558</v>
      </c>
      <c r="AC33" s="138" t="str">
        <f>IF(AD33="","",VLOOKUP(AD33,datos!$AT$6:$AU$9,2,0))</f>
        <v>Probabilidad</v>
      </c>
      <c r="AD33" s="136" t="s">
        <v>80</v>
      </c>
      <c r="AE33" s="136" t="s">
        <v>84</v>
      </c>
      <c r="AF33" s="92">
        <f>IF(AND(AD33="",AE33=""),"",IF(AD33="",0,VLOOKUP(AD33,datos!$AP$3:$AR$7,3,0))+IF(AE33="",0,VLOOKUP(AE33,datos!$AP$3:$AR$7,3,0)))</f>
        <v>0.4</v>
      </c>
      <c r="AG33" s="108" t="str">
        <f>IF(OR(AH33="",AH33=0),"",IF(AH33&lt;=datos!$AC$3,datos!$AE$3,IF(AH33&lt;=datos!$AC$4,datos!$AE$4,IF(AH33&lt;=datos!$AC$5,datos!$AE$5,IF(AH33&lt;=datos!$AC$6,datos!$AE$6,IF(AH33&lt;=datos!$AC$7,datos!$AE$7,""))))))</f>
        <v>Baja</v>
      </c>
      <c r="AH33" s="109">
        <f>IF(AC33="","",IF(S33=1,IF(AC33="Probabilidad",O33-(O33*AF33),O33),IF(AC33="Probabilidad",AH32-(AH32*AF33),AH32)))</f>
        <v>0.36</v>
      </c>
      <c r="AI33" s="144" t="str">
        <f>+IF(AJ33&lt;=datos!$AD$11,datos!$AC$11,IF(AJ33&lt;=datos!$AD$12,datos!$AC$12,IF(AJ33&lt;=datos!$AD$13,datos!$AC$13,IF(AJ33&lt;=datos!$AD$14,datos!$AC$14,IF(AJ33&lt;=datos!$AD$15,datos!$AC$15,"")))))</f>
        <v>Mayor</v>
      </c>
      <c r="AJ33" s="109">
        <f>IF(AC33="","",IF(S33=1,IF(AC33="Impacto",Q33-(Q33*AF33),Q33),IF(AC33="Impacto",AJ32-(AJ32*AF33),AJ32)))</f>
        <v>0.8</v>
      </c>
      <c r="AK33" s="144" t="str">
        <f ca="1">_xlfn.IFERROR(INDIRECT("datos!"&amp;HLOOKUP(AI33,calculo_imp,2,FALSE)&amp;VLOOKUP(AG33,calculo_prob,2,FALSE)),"")</f>
        <v>Alto</v>
      </c>
      <c r="AL33" s="89" t="s">
        <v>26</v>
      </c>
      <c r="AM33" s="141"/>
      <c r="AN33" s="86"/>
      <c r="AO33" s="86"/>
      <c r="AP33" s="136"/>
      <c r="AQ33" s="234" t="s">
        <v>559</v>
      </c>
      <c r="AR33" s="236">
        <v>0</v>
      </c>
    </row>
    <row r="34" spans="1:44" ht="60.75" thickBot="1">
      <c r="A34" s="239"/>
      <c r="B34" s="241"/>
      <c r="C34" s="241"/>
      <c r="D34" s="275"/>
      <c r="E34" s="241"/>
      <c r="F34" s="241"/>
      <c r="G34" s="241"/>
      <c r="H34" s="241"/>
      <c r="I34" s="241"/>
      <c r="J34" s="241"/>
      <c r="K34" s="247"/>
      <c r="L34" s="249"/>
      <c r="M34" s="251"/>
      <c r="N34" s="253"/>
      <c r="O34" s="255"/>
      <c r="P34" s="257"/>
      <c r="Q34" s="255" t="e">
        <f>IF(OR(#REF!=datos!$AB$10,#REF!=datos!$AB$16),"",VLOOKUP(#REF!,datos!$AA$10:$AC$21,3,0))</f>
        <v>#REF!</v>
      </c>
      <c r="R34" s="259"/>
      <c r="S34" s="96">
        <v>2</v>
      </c>
      <c r="T34" s="97" t="s">
        <v>560</v>
      </c>
      <c r="U34" s="159" t="s">
        <v>552</v>
      </c>
      <c r="V34" s="159" t="s">
        <v>553</v>
      </c>
      <c r="W34" s="159" t="s">
        <v>561</v>
      </c>
      <c r="X34" s="159" t="s">
        <v>562</v>
      </c>
      <c r="Y34" s="159"/>
      <c r="Z34" s="159" t="s">
        <v>563</v>
      </c>
      <c r="AA34" s="159" t="s">
        <v>563</v>
      </c>
      <c r="AB34" s="83" t="s">
        <v>558</v>
      </c>
      <c r="AC34" s="138" t="str">
        <f>IF(AD34="","",VLOOKUP(AD34,datos!$AT$6:$AU$9,2,0))</f>
        <v>Probabilidad</v>
      </c>
      <c r="AD34" s="135" t="s">
        <v>80</v>
      </c>
      <c r="AE34" s="135" t="s">
        <v>84</v>
      </c>
      <c r="AF34" s="92">
        <f>IF(AND(AD34="",AE34=""),"",IF(AD34="",0,VLOOKUP(AD34,datos!$AP$3:$AR$7,3,0))+IF(AE34="",0,VLOOKUP(AE34,datos!$AP$3:$AR$7,3,0)))</f>
        <v>0.4</v>
      </c>
      <c r="AG34" s="108" t="str">
        <f>IF(OR(AH34="",AH34=0),"",IF(AH34&lt;=datos!$AC$3,datos!$AE$3,IF(AH34&lt;=datos!$AC$4,datos!$AE$4,IF(AH34&lt;=datos!$AC$5,datos!$AE$5,IF(AH34&lt;=datos!$AC$6,datos!$AE$6,IF(AH34&lt;=datos!$AC$7,datos!$AE$7,""))))))</f>
        <v>Baja</v>
      </c>
      <c r="AH34" s="109">
        <f>IF(AC34="","",IF(S34=1,IF(AC34="Probabilidad",O34-(O34*AF34),O34),IF(AC34="Probabilidad",AH33-(AH33*AF34),AH33)))</f>
        <v>0.216</v>
      </c>
      <c r="AI34" s="144" t="str">
        <f>+IF(AJ34&lt;=datos!$AD$11,datos!$AC$11,IF(AJ34&lt;=datos!$AD$12,datos!$AC$12,IF(AJ34&lt;=datos!$AD$13,datos!$AC$13,IF(AJ34&lt;=datos!$AD$14,datos!$AC$14,IF(AJ34&lt;=datos!$AD$15,datos!$AC$15,"")))))</f>
        <v>Mayor</v>
      </c>
      <c r="AJ34" s="109">
        <f>IF(AC34="","",IF(S34=1,IF(AC34="Impacto",Q34-(Q34*AF34),Q34),IF(AC34="Impacto",AJ33-(AJ33*AF34),AJ33)))</f>
        <v>0.8</v>
      </c>
      <c r="AK34" s="144" t="str">
        <f ca="1">_xlfn.IFERROR(INDIRECT("datos!"&amp;HLOOKUP(AI34,calculo_imp,2,FALSE)&amp;VLOOKUP(AG34,calculo_prob,2,FALSE)),"")</f>
        <v>Alto</v>
      </c>
      <c r="AL34" s="90" t="s">
        <v>26</v>
      </c>
      <c r="AM34" s="140"/>
      <c r="AN34" s="84"/>
      <c r="AO34" s="84"/>
      <c r="AP34" s="135"/>
      <c r="AQ34" s="235"/>
      <c r="AR34" s="237"/>
    </row>
    <row r="35" spans="1:44" ht="192.75" thickBot="1">
      <c r="A35" s="230">
        <v>18</v>
      </c>
      <c r="B35" s="136" t="s">
        <v>42</v>
      </c>
      <c r="C35" s="136" t="s">
        <v>268</v>
      </c>
      <c r="D35" s="138" t="s">
        <v>208</v>
      </c>
      <c r="E35" s="136" t="s">
        <v>54</v>
      </c>
      <c r="F35" s="196" t="s">
        <v>564</v>
      </c>
      <c r="G35" s="136" t="s">
        <v>565</v>
      </c>
      <c r="H35" s="136" t="s">
        <v>252</v>
      </c>
      <c r="I35" s="136" t="s">
        <v>566</v>
      </c>
      <c r="J35" s="136" t="s">
        <v>567</v>
      </c>
      <c r="K35" s="148" t="s">
        <v>197</v>
      </c>
      <c r="L35" s="133" t="s">
        <v>57</v>
      </c>
      <c r="M35" s="141" t="s">
        <v>568</v>
      </c>
      <c r="N35" s="143" t="str">
        <f>_xlfn.IFERROR(VLOOKUP(O35,datos!$AC$2:$AE$7,3,0),"")</f>
        <v>Muy Alta</v>
      </c>
      <c r="O35" s="131">
        <f>+IF(OR(M35="",M35=0),"",IF(M35&lt;=datos!$AD$3,datos!$AC$3,IF(AND(M35&gt;datos!$AD$3,M35&lt;=datos!$AD$4),datos!$AC$4,IF(AND(M35&gt;datos!$AD$4,M35&lt;=datos!$AD$5),datos!$AC$5,IF(AND(M35&gt;datos!$AD$5,M35&lt;=datos!$AD$6),datos!$AC$6,IF(M35&gt;datos!$AD$7,datos!$AC$7,0))))))</f>
        <v>1</v>
      </c>
      <c r="P35" s="145" t="str">
        <f>+HLOOKUP(A35,'Impacto Riesgo de Corrupción'!$D$5:$AS$26,22,0)</f>
        <v>Catastrófico</v>
      </c>
      <c r="Q35" s="131">
        <f>+IF(P35="","",VLOOKUP(P35,datos!$AC$12:$AD$15,2,0))</f>
        <v>1</v>
      </c>
      <c r="R35" s="142" t="str">
        <f ca="1">_xlfn.IFERROR(INDIRECT("datos!"&amp;HLOOKUP(P35,calculo_imp,2,FALSE)&amp;VLOOKUP(N35,calculo_prob,2,FALSE)),"")</f>
        <v>Extremo</v>
      </c>
      <c r="S35" s="94">
        <v>1</v>
      </c>
      <c r="T35" s="136" t="s">
        <v>569</v>
      </c>
      <c r="U35" s="85" t="s">
        <v>570</v>
      </c>
      <c r="V35" s="85" t="s">
        <v>571</v>
      </c>
      <c r="W35" s="85" t="s">
        <v>572</v>
      </c>
      <c r="X35" s="85" t="s">
        <v>573</v>
      </c>
      <c r="Y35" s="85" t="s">
        <v>574</v>
      </c>
      <c r="Z35" s="85" t="s">
        <v>575</v>
      </c>
      <c r="AA35" s="85" t="s">
        <v>576</v>
      </c>
      <c r="AB35" s="158" t="s">
        <v>577</v>
      </c>
      <c r="AC35" s="138" t="str">
        <f>IF(AD35="","",VLOOKUP(AD35,datos!$AT$6:$AU$9,2,0))</f>
        <v>Probabilidad</v>
      </c>
      <c r="AD35" s="136" t="s">
        <v>81</v>
      </c>
      <c r="AE35" s="136" t="s">
        <v>84</v>
      </c>
      <c r="AF35" s="92">
        <f>IF(AND(AD35="",AE35=""),"",IF(AD35="",0,VLOOKUP(AD35,datos!$AP$3:$AR$7,3,0))+IF(AE35="",0,VLOOKUP(AE35,datos!$AP$3:$AR$7,3,0)))</f>
        <v>0.3</v>
      </c>
      <c r="AG35" s="108" t="str">
        <f>IF(OR(AH35="",AH35=0),"",IF(AH35&lt;=datos!$AC$3,datos!$AE$3,IF(AH35&lt;=datos!$AC$4,datos!$AE$4,IF(AH35&lt;=datos!$AC$5,datos!$AE$5,IF(AH35&lt;=datos!$AC$6,datos!$AE$6,IF(AH35&lt;=datos!$AC$7,datos!$AE$7,""))))))</f>
        <v>Alta</v>
      </c>
      <c r="AH35" s="109">
        <f>IF(AC35="","",IF(S35=1,IF(AC35="Probabilidad",O35-(O35*AF35),O35),IF(AC35="Probabilidad",AH34-(AH34*AF35),AH34)))</f>
        <v>0.7</v>
      </c>
      <c r="AI35" s="144" t="str">
        <f>+IF(AJ35&lt;=datos!$AD$11,datos!$AC$11,IF(AJ35&lt;=datos!$AD$12,datos!$AC$12,IF(AJ35&lt;=datos!$AD$13,datos!$AC$13,IF(AJ35&lt;=datos!$AD$14,datos!$AC$14,IF(AJ35&lt;=datos!$AD$15,datos!$AC$15,"")))))</f>
        <v>Catastrófico</v>
      </c>
      <c r="AJ35" s="109">
        <f>IF(AC35="","",IF(S35=1,IF(AC35="Impacto",Q35-(Q35*AF35),Q35),IF(AC35="Impacto",AJ34-(AJ34*AF35),AJ34)))</f>
        <v>1</v>
      </c>
      <c r="AK35" s="144" t="str">
        <f ca="1">_xlfn.IFERROR(INDIRECT("datos!"&amp;HLOOKUP(AI35,calculo_imp,2,FALSE)&amp;VLOOKUP(AG35,calculo_prob,2,FALSE)),"")</f>
        <v>Extremo</v>
      </c>
      <c r="AL35" s="89" t="s">
        <v>92</v>
      </c>
      <c r="AM35" s="141" t="s">
        <v>578</v>
      </c>
      <c r="AN35" s="86">
        <v>44469</v>
      </c>
      <c r="AO35" s="86" t="s">
        <v>579</v>
      </c>
      <c r="AP35" s="86" t="s">
        <v>579</v>
      </c>
      <c r="AQ35" s="146" t="s">
        <v>580</v>
      </c>
      <c r="AR35" s="147">
        <v>0</v>
      </c>
    </row>
    <row r="36" spans="1:44" ht="336.75" thickBot="1">
      <c r="A36" s="230">
        <v>19</v>
      </c>
      <c r="B36" s="136" t="s">
        <v>42</v>
      </c>
      <c r="C36" s="136" t="s">
        <v>268</v>
      </c>
      <c r="D36" s="138" t="s">
        <v>208</v>
      </c>
      <c r="E36" s="148" t="s">
        <v>54</v>
      </c>
      <c r="F36" s="196" t="s">
        <v>581</v>
      </c>
      <c r="G36" s="136" t="s">
        <v>582</v>
      </c>
      <c r="H36" s="136" t="s">
        <v>252</v>
      </c>
      <c r="I36" s="136" t="s">
        <v>566</v>
      </c>
      <c r="J36" s="136" t="s">
        <v>583</v>
      </c>
      <c r="K36" s="148" t="s">
        <v>197</v>
      </c>
      <c r="L36" s="133" t="s">
        <v>57</v>
      </c>
      <c r="M36" s="141" t="s">
        <v>584</v>
      </c>
      <c r="N36" s="143" t="str">
        <f>_xlfn.IFERROR(VLOOKUP(O36,datos!$AC$2:$AE$7,3,0),"")</f>
        <v>Muy Alta</v>
      </c>
      <c r="O36" s="131">
        <f>+IF(OR(M36="",M36=0),"",IF(M36&lt;=datos!$AD$3,datos!$AC$3,IF(AND(M36&gt;datos!$AD$3,M36&lt;=datos!$AD$4),datos!$AC$4,IF(AND(M36&gt;datos!$AD$4,M36&lt;=datos!$AD$5),datos!$AC$5,IF(AND(M36&gt;datos!$AD$5,M36&lt;=datos!$AD$6),datos!$AC$6,IF(M36&gt;datos!$AD$7,datos!$AC$7,0))))))</f>
        <v>1</v>
      </c>
      <c r="P36" s="145" t="str">
        <f>+HLOOKUP(A36,'Impacto Riesgo de Corrupción'!$D$5:$AS$26,22,0)</f>
        <v>Catastrófico</v>
      </c>
      <c r="Q36" s="131">
        <f>+IF(P36="","",VLOOKUP(P36,datos!$AC$12:$AD$15,2,0))</f>
        <v>1</v>
      </c>
      <c r="R36" s="142" t="str">
        <f ca="1">_xlfn.IFERROR(INDIRECT("datos!"&amp;HLOOKUP(P36,calculo_imp,2,FALSE)&amp;VLOOKUP(N36,calculo_prob,2,FALSE)),"")</f>
        <v>Extremo</v>
      </c>
      <c r="S36" s="94">
        <v>1</v>
      </c>
      <c r="T36" s="136" t="s">
        <v>585</v>
      </c>
      <c r="U36" s="85" t="s">
        <v>586</v>
      </c>
      <c r="V36" s="85" t="s">
        <v>571</v>
      </c>
      <c r="W36" s="85" t="s">
        <v>587</v>
      </c>
      <c r="X36" s="85" t="s">
        <v>588</v>
      </c>
      <c r="Y36" s="85" t="s">
        <v>589</v>
      </c>
      <c r="Z36" s="158" t="s">
        <v>590</v>
      </c>
      <c r="AA36" s="158" t="s">
        <v>591</v>
      </c>
      <c r="AB36" s="158" t="s">
        <v>577</v>
      </c>
      <c r="AC36" s="138" t="str">
        <f>IF(AD36="","",VLOOKUP(AD36,datos!$AT$6:$AU$9,2,0))</f>
        <v>Probabilidad</v>
      </c>
      <c r="AD36" s="136" t="s">
        <v>80</v>
      </c>
      <c r="AE36" s="136" t="s">
        <v>84</v>
      </c>
      <c r="AF36" s="92">
        <f>IF(AND(AD36="",AE36=""),"",IF(AD36="",0,VLOOKUP(AD36,datos!$AP$3:$AR$7,3,0))+IF(AE36="",0,VLOOKUP(AE36,datos!$AP$3:$AR$7,3,0)))</f>
        <v>0.4</v>
      </c>
      <c r="AG36" s="108" t="str">
        <f>IF(OR(AH36="",AH36=0),"",IF(AH36&lt;=datos!$AC$3,datos!$AE$3,IF(AH36&lt;=datos!$AC$4,datos!$AE$4,IF(AH36&lt;=datos!$AC$5,datos!$AE$5,IF(AH36&lt;=datos!$AC$6,datos!$AE$6,IF(AH36&lt;=datos!$AC$7,datos!$AE$7,""))))))</f>
        <v>Media</v>
      </c>
      <c r="AH36" s="109">
        <f>IF(AC36="","",IF(S36=1,IF(AC36="Probabilidad",O36-(O36*AF36),O36),IF(AC36="Probabilidad",AH35-(AH35*AF36),AH35)))</f>
        <v>0.6</v>
      </c>
      <c r="AI36" s="144" t="str">
        <f>+IF(AJ36&lt;=datos!$AD$11,datos!$AC$11,IF(AJ36&lt;=datos!$AD$12,datos!$AC$12,IF(AJ36&lt;=datos!$AD$13,datos!$AC$13,IF(AJ36&lt;=datos!$AD$14,datos!$AC$14,IF(AJ36&lt;=datos!$AD$15,datos!$AC$15,"")))))</f>
        <v>Catastrófico</v>
      </c>
      <c r="AJ36" s="109">
        <f>IF(AC36="","",IF(S36=1,IF(AC36="Impacto",Q36-(Q36*AF36),Q36),IF(AC36="Impacto",AJ35-(AJ35*AF36),AJ35)))</f>
        <v>1</v>
      </c>
      <c r="AK36" s="144" t="str">
        <f ca="1">_xlfn.IFERROR(INDIRECT("datos!"&amp;HLOOKUP(AI36,calculo_imp,2,FALSE)&amp;VLOOKUP(AG36,calculo_prob,2,FALSE)),"")</f>
        <v>Extremo</v>
      </c>
      <c r="AL36" s="89" t="s">
        <v>92</v>
      </c>
      <c r="AM36" s="141" t="s">
        <v>592</v>
      </c>
      <c r="AN36" s="86">
        <v>44469</v>
      </c>
      <c r="AO36" s="86" t="s">
        <v>579</v>
      </c>
      <c r="AP36" s="86" t="s">
        <v>579</v>
      </c>
      <c r="AQ36" s="146" t="s">
        <v>580</v>
      </c>
      <c r="AR36" s="147">
        <v>0</v>
      </c>
    </row>
    <row r="37" spans="1:44" ht="216.75" thickBot="1">
      <c r="A37" s="230">
        <v>20</v>
      </c>
      <c r="B37" s="136" t="s">
        <v>42</v>
      </c>
      <c r="C37" s="136" t="s">
        <v>268</v>
      </c>
      <c r="D37" s="138" t="s">
        <v>208</v>
      </c>
      <c r="E37" s="136" t="s">
        <v>54</v>
      </c>
      <c r="F37" s="170" t="s">
        <v>593</v>
      </c>
      <c r="G37" s="170" t="s">
        <v>594</v>
      </c>
      <c r="H37" s="170" t="s">
        <v>252</v>
      </c>
      <c r="I37" s="170" t="s">
        <v>566</v>
      </c>
      <c r="J37" s="170" t="s">
        <v>595</v>
      </c>
      <c r="K37" s="148" t="s">
        <v>197</v>
      </c>
      <c r="L37" s="133" t="s">
        <v>57</v>
      </c>
      <c r="M37" s="141">
        <v>12</v>
      </c>
      <c r="N37" s="143" t="str">
        <f>_xlfn.IFERROR(VLOOKUP(O37,datos!$AC$2:$AE$7,3,0),"")</f>
        <v>Baja</v>
      </c>
      <c r="O37" s="131">
        <f>+IF(OR(M37="",M37=0),"",IF(M37&lt;=datos!$AD$3,datos!$AC$3,IF(AND(M37&gt;datos!$AD$3,M37&lt;=datos!$AD$4),datos!$AC$4,IF(AND(M37&gt;datos!$AD$4,M37&lt;=datos!$AD$5),datos!$AC$5,IF(AND(M37&gt;datos!$AD$5,M37&lt;=datos!$AD$6),datos!$AC$6,IF(M37&gt;datos!$AD$7,datos!$AC$7,0))))))</f>
        <v>0.4</v>
      </c>
      <c r="P37" s="145" t="str">
        <f>+HLOOKUP(A37,'Impacto Riesgo de Corrupción'!$D$5:$AS$26,22,0)</f>
        <v>Mayor</v>
      </c>
      <c r="Q37" s="131">
        <f>+IF(P37="","",VLOOKUP(P37,datos!$AC$12:$AD$15,2,0))</f>
        <v>0.8</v>
      </c>
      <c r="R37" s="142" t="str">
        <f ca="1">_xlfn.IFERROR(INDIRECT("datos!"&amp;HLOOKUP(P37,calculo_imp,2,FALSE)&amp;VLOOKUP(N37,calculo_prob,2,FALSE)),"")</f>
        <v>Alto</v>
      </c>
      <c r="S37" s="94">
        <v>1</v>
      </c>
      <c r="T37" s="136" t="s">
        <v>596</v>
      </c>
      <c r="U37" s="85" t="s">
        <v>597</v>
      </c>
      <c r="V37" s="85" t="s">
        <v>571</v>
      </c>
      <c r="W37" s="85" t="s">
        <v>598</v>
      </c>
      <c r="X37" s="85" t="s">
        <v>599</v>
      </c>
      <c r="Y37" s="85" t="s">
        <v>600</v>
      </c>
      <c r="Z37" s="158" t="s">
        <v>601</v>
      </c>
      <c r="AA37" s="85" t="s">
        <v>602</v>
      </c>
      <c r="AB37" s="158" t="s">
        <v>577</v>
      </c>
      <c r="AC37" s="138" t="str">
        <f>IF(AD37="","",VLOOKUP(AD37,datos!$AT$6:$AU$9,2,0))</f>
        <v>Probabilidad</v>
      </c>
      <c r="AD37" s="136" t="s">
        <v>80</v>
      </c>
      <c r="AE37" s="136" t="s">
        <v>84</v>
      </c>
      <c r="AF37" s="92">
        <f>IF(AND(AD37="",AE37=""),"",IF(AD37="",0,VLOOKUP(AD37,datos!$AP$3:$AR$7,3,0))+IF(AE37="",0,VLOOKUP(AE37,datos!$AP$3:$AR$7,3,0)))</f>
        <v>0.4</v>
      </c>
      <c r="AG37" s="108" t="str">
        <f>IF(OR(AH37="",AH37=0),"",IF(AH37&lt;=datos!$AC$3,datos!$AE$3,IF(AH37&lt;=datos!$AC$4,datos!$AE$4,IF(AH37&lt;=datos!$AC$5,datos!$AE$5,IF(AH37&lt;=datos!$AC$6,datos!$AE$6,IF(AH37&lt;=datos!$AC$7,datos!$AE$7,""))))))</f>
        <v>Baja</v>
      </c>
      <c r="AH37" s="109">
        <f>IF(AC37="","",IF(S37=1,IF(AC37="Probabilidad",O37-(O37*AF37),O37),IF(AC37="Probabilidad",AH36-(AH36*AF37),AH36)))</f>
        <v>0.24</v>
      </c>
      <c r="AI37" s="144" t="str">
        <f>+IF(AJ37&lt;=datos!$AD$11,datos!$AC$11,IF(AJ37&lt;=datos!$AD$12,datos!$AC$12,IF(AJ37&lt;=datos!$AD$13,datos!$AC$13,IF(AJ37&lt;=datos!$AD$14,datos!$AC$14,IF(AJ37&lt;=datos!$AD$15,datos!$AC$15,"")))))</f>
        <v>Mayor</v>
      </c>
      <c r="AJ37" s="109">
        <f>IF(AC37="","",IF(S37=1,IF(AC37="Impacto",Q37-(Q37*AF37),Q37),IF(AC37="Impacto",AJ36-(AJ36*AF37),AJ36)))</f>
        <v>0.8</v>
      </c>
      <c r="AK37" s="144" t="str">
        <f ca="1">_xlfn.IFERROR(INDIRECT("datos!"&amp;HLOOKUP(AI37,calculo_imp,2,FALSE)&amp;VLOOKUP(AG37,calculo_prob,2,FALSE)),"")</f>
        <v>Alto</v>
      </c>
      <c r="AL37" s="89" t="s">
        <v>92</v>
      </c>
      <c r="AM37" s="141" t="s">
        <v>603</v>
      </c>
      <c r="AN37" s="86">
        <v>44469</v>
      </c>
      <c r="AO37" s="86" t="s">
        <v>579</v>
      </c>
      <c r="AP37" s="86" t="s">
        <v>579</v>
      </c>
      <c r="AQ37" s="146" t="s">
        <v>580</v>
      </c>
      <c r="AR37" s="147">
        <v>0</v>
      </c>
    </row>
    <row r="38" spans="1:44" ht="252.75" thickBot="1">
      <c r="A38" s="230">
        <v>21</v>
      </c>
      <c r="B38" s="136" t="s">
        <v>42</v>
      </c>
      <c r="C38" s="136" t="s">
        <v>268</v>
      </c>
      <c r="D38" s="138" t="s">
        <v>208</v>
      </c>
      <c r="E38" s="136" t="s">
        <v>54</v>
      </c>
      <c r="F38" s="170" t="s">
        <v>604</v>
      </c>
      <c r="G38" s="170" t="s">
        <v>605</v>
      </c>
      <c r="H38" s="170" t="s">
        <v>252</v>
      </c>
      <c r="I38" s="170" t="s">
        <v>566</v>
      </c>
      <c r="J38" s="170" t="s">
        <v>606</v>
      </c>
      <c r="K38" s="170" t="s">
        <v>197</v>
      </c>
      <c r="L38" s="133" t="s">
        <v>57</v>
      </c>
      <c r="M38" s="141">
        <v>12</v>
      </c>
      <c r="N38" s="143" t="str">
        <f>_xlfn.IFERROR(VLOOKUP(O38,datos!$AC$2:$AE$7,3,0),"")</f>
        <v>Baja</v>
      </c>
      <c r="O38" s="131">
        <f>+IF(OR(M38="",M38=0),"",IF(M38&lt;=datos!$AD$3,datos!$AC$3,IF(AND(M38&gt;datos!$AD$3,M38&lt;=datos!$AD$4),datos!$AC$4,IF(AND(M38&gt;datos!$AD$4,M38&lt;=datos!$AD$5),datos!$AC$5,IF(AND(M38&gt;datos!$AD$5,M38&lt;=datos!$AD$6),datos!$AC$6,IF(M38&gt;datos!$AD$7,datos!$AC$7,0))))))</f>
        <v>0.4</v>
      </c>
      <c r="P38" s="145" t="str">
        <f>+HLOOKUP(A38,'Impacto Riesgo de Corrupción'!$D$5:$AS$26,22,0)</f>
        <v>Mayor</v>
      </c>
      <c r="Q38" s="131">
        <f>+IF(P38="","",VLOOKUP(P38,datos!$AC$12:$AD$15,2,0))</f>
        <v>0.8</v>
      </c>
      <c r="R38" s="142" t="str">
        <f ca="1">_xlfn.IFERROR(INDIRECT("datos!"&amp;HLOOKUP(P38,calculo_imp,2,FALSE)&amp;VLOOKUP(N38,calculo_prob,2,FALSE)),"")</f>
        <v>Alto</v>
      </c>
      <c r="S38" s="94">
        <v>1</v>
      </c>
      <c r="T38" s="136" t="s">
        <v>607</v>
      </c>
      <c r="U38" s="85" t="s">
        <v>608</v>
      </c>
      <c r="V38" s="85" t="s">
        <v>571</v>
      </c>
      <c r="W38" s="85" t="s">
        <v>609</v>
      </c>
      <c r="X38" s="197" t="s">
        <v>610</v>
      </c>
      <c r="Y38" s="197" t="s">
        <v>611</v>
      </c>
      <c r="Z38" s="158" t="s">
        <v>612</v>
      </c>
      <c r="AA38" s="85" t="s">
        <v>613</v>
      </c>
      <c r="AB38" s="158" t="s">
        <v>577</v>
      </c>
      <c r="AC38" s="138" t="str">
        <f>IF(AD38="","",VLOOKUP(AD38,datos!$AT$6:$AU$9,2,0))</f>
        <v>Probabilidad</v>
      </c>
      <c r="AD38" s="136" t="s">
        <v>80</v>
      </c>
      <c r="AE38" s="136" t="s">
        <v>83</v>
      </c>
      <c r="AF38" s="92">
        <f>IF(AND(AD38="",AE38=""),"",IF(AD38="",0,VLOOKUP(AD38,datos!$AP$3:$AR$7,3,0))+IF(AE38="",0,VLOOKUP(AE38,datos!$AP$3:$AR$7,3,0)))</f>
        <v>0.5</v>
      </c>
      <c r="AG38" s="108" t="str">
        <f>IF(OR(AH38="",AH38=0),"",IF(AH38&lt;=datos!$AC$3,datos!$AE$3,IF(AH38&lt;=datos!$AC$4,datos!$AE$4,IF(AH38&lt;=datos!$AC$5,datos!$AE$5,IF(AH38&lt;=datos!$AC$6,datos!$AE$6,IF(AH38&lt;=datos!$AC$7,datos!$AE$7,""))))))</f>
        <v>Muy Baja</v>
      </c>
      <c r="AH38" s="109">
        <f>IF(AC38="","",IF(S38=1,IF(AC38="Probabilidad",O38-(O38*AF38),O38),IF(AC38="Probabilidad",AH37-(AH37*AF38),AH37)))</f>
        <v>0.2</v>
      </c>
      <c r="AI38" s="144" t="str">
        <f>+IF(AJ38&lt;=datos!$AD$11,datos!$AC$11,IF(AJ38&lt;=datos!$AD$12,datos!$AC$12,IF(AJ38&lt;=datos!$AD$13,datos!$AC$13,IF(AJ38&lt;=datos!$AD$14,datos!$AC$14,IF(AJ38&lt;=datos!$AD$15,datos!$AC$15,"")))))</f>
        <v>Mayor</v>
      </c>
      <c r="AJ38" s="109">
        <f>IF(AC38="","",IF(S38=1,IF(AC38="Impacto",Q38-(Q38*AF38),Q38),IF(AC38="Impacto",AJ37-(AJ37*AF38),AJ37)))</f>
        <v>0.8</v>
      </c>
      <c r="AK38" s="144" t="str">
        <f ca="1">_xlfn.IFERROR(INDIRECT("datos!"&amp;HLOOKUP(AI38,calculo_imp,2,FALSE)&amp;VLOOKUP(AG38,calculo_prob,2,FALSE)),"")</f>
        <v>Alto</v>
      </c>
      <c r="AL38" s="89" t="s">
        <v>92</v>
      </c>
      <c r="AM38" s="141" t="s">
        <v>614</v>
      </c>
      <c r="AN38" s="86">
        <v>44469</v>
      </c>
      <c r="AO38" s="86" t="s">
        <v>579</v>
      </c>
      <c r="AP38" s="86" t="s">
        <v>579</v>
      </c>
      <c r="AQ38" s="133" t="s">
        <v>580</v>
      </c>
      <c r="AR38" s="134">
        <v>0</v>
      </c>
    </row>
    <row r="39" spans="1:44" ht="96.75" thickBot="1">
      <c r="A39" s="238">
        <v>22</v>
      </c>
      <c r="B39" s="240" t="s">
        <v>42</v>
      </c>
      <c r="C39" s="240" t="s">
        <v>268</v>
      </c>
      <c r="D39" s="274" t="s">
        <v>208</v>
      </c>
      <c r="E39" s="240" t="s">
        <v>54</v>
      </c>
      <c r="F39" s="285" t="s">
        <v>615</v>
      </c>
      <c r="G39" s="240" t="s">
        <v>616</v>
      </c>
      <c r="H39" s="286" t="s">
        <v>252</v>
      </c>
      <c r="I39" s="288"/>
      <c r="J39" s="283" t="s">
        <v>617</v>
      </c>
      <c r="K39" s="246" t="s">
        <v>197</v>
      </c>
      <c r="L39" s="248" t="s">
        <v>56</v>
      </c>
      <c r="M39" s="250">
        <v>132</v>
      </c>
      <c r="N39" s="252" t="str">
        <f>_xlfn.IFERROR(VLOOKUP(O39,datos!$AC$2:$AE$7,3,0),"")</f>
        <v>Media</v>
      </c>
      <c r="O39" s="254">
        <f>+IF(OR(M39="",M39=0),"",IF(M39&lt;=datos!$AD$3,datos!$AC$3,IF(AND(M39&gt;datos!$AD$3,M39&lt;=datos!$AD$4),datos!$AC$4,IF(AND(M39&gt;datos!$AD$4,M39&lt;=datos!$AD$5),datos!$AC$5,IF(AND(M39&gt;datos!$AD$5,M39&lt;=datos!$AD$6),datos!$AC$6,IF(M39&gt;datos!$AD$7,datos!$AC$7,0))))))</f>
        <v>0.6</v>
      </c>
      <c r="P39" s="256" t="str">
        <f>+HLOOKUP(A39,'Impacto Riesgo de Corrupción'!$D$5:$AS$26,22,0)</f>
        <v>Catastrófico</v>
      </c>
      <c r="Q39" s="254">
        <f>+IF(P39="","",VLOOKUP(P39,datos!$AC$12:$AD$15,2,0))</f>
        <v>1</v>
      </c>
      <c r="R39" s="258" t="str">
        <f ca="1">_xlfn.IFERROR(INDIRECT("datos!"&amp;HLOOKUP(P39,calculo_imp,2,FALSE)&amp;VLOOKUP(N39,calculo_prob,2,FALSE)),"")</f>
        <v>Extremo</v>
      </c>
      <c r="S39" s="94">
        <v>1</v>
      </c>
      <c r="T39" s="136" t="s">
        <v>618</v>
      </c>
      <c r="U39" s="177" t="s">
        <v>619</v>
      </c>
      <c r="V39" s="85" t="s">
        <v>620</v>
      </c>
      <c r="W39" s="159" t="s">
        <v>621</v>
      </c>
      <c r="X39" s="158" t="s">
        <v>622</v>
      </c>
      <c r="Y39" s="85" t="s">
        <v>623</v>
      </c>
      <c r="Z39" s="85" t="s">
        <v>624</v>
      </c>
      <c r="AA39" s="85" t="s">
        <v>625</v>
      </c>
      <c r="AB39" s="85" t="s">
        <v>626</v>
      </c>
      <c r="AC39" s="138" t="str">
        <f>IF(AD39="","",VLOOKUP(AD39,datos!$AT$6:$AU$9,2,0))</f>
        <v>Probabilidad</v>
      </c>
      <c r="AD39" s="136" t="s">
        <v>80</v>
      </c>
      <c r="AE39" s="136"/>
      <c r="AF39" s="92">
        <f>IF(AND(AD39="",AE39=""),"",IF(AD39="",0,VLOOKUP(AD39,datos!$AP$3:$AR$7,3,0))+IF(AE39="",0,VLOOKUP(AE39,datos!$AP$3:$AR$7,3,0)))</f>
        <v>0.25</v>
      </c>
      <c r="AG39" s="108" t="str">
        <f>IF(OR(AH39="",AH39=0),"",IF(AH39&lt;=datos!$AC$3,datos!$AE$3,IF(AH39&lt;=datos!$AC$4,datos!$AE$4,IF(AH39&lt;=datos!$AC$5,datos!$AE$5,IF(AH39&lt;=datos!$AC$6,datos!$AE$6,IF(AH39&lt;=datos!$AC$7,datos!$AE$7,""))))))</f>
        <v>Media</v>
      </c>
      <c r="AH39" s="109">
        <f>IF(AC39="","",IF(S39=1,IF(AC39="Probabilidad",O39-(O39*AF39),O39),IF(AC39="Probabilidad",AH38-(AH38*AF39),AH38)))</f>
        <v>0.44999999999999996</v>
      </c>
      <c r="AI39" s="144" t="str">
        <f>+IF(AJ39&lt;=datos!$AD$11,datos!$AC$11,IF(AJ39&lt;=datos!$AD$12,datos!$AC$12,IF(AJ39&lt;=datos!$AD$13,datos!$AC$13,IF(AJ39&lt;=datos!$AD$14,datos!$AC$14,IF(AJ39&lt;=datos!$AD$15,datos!$AC$15,"")))))</f>
        <v>Catastrófico</v>
      </c>
      <c r="AJ39" s="109">
        <f>IF(AC39="","",IF(S39=1,IF(AC39="Impacto",Q39-(Q39*AF39),Q39),IF(AC39="Impacto",AJ38-(AJ38*AF39),AJ38)))</f>
        <v>1</v>
      </c>
      <c r="AK39" s="144" t="str">
        <f ca="1">_xlfn.IFERROR(INDIRECT("datos!"&amp;HLOOKUP(AI39,calculo_imp,2,FALSE)&amp;VLOOKUP(AG39,calculo_prob,2,FALSE)),"")</f>
        <v>Extremo</v>
      </c>
      <c r="AL39" s="89" t="s">
        <v>92</v>
      </c>
      <c r="AM39" s="141" t="s">
        <v>627</v>
      </c>
      <c r="AN39" s="86"/>
      <c r="AO39" s="86"/>
      <c r="AP39" s="136" t="s">
        <v>628</v>
      </c>
      <c r="AQ39" s="234" t="s">
        <v>629</v>
      </c>
      <c r="AR39" s="236">
        <v>0</v>
      </c>
    </row>
    <row r="40" spans="1:44" ht="108.75" thickBot="1">
      <c r="A40" s="239"/>
      <c r="B40" s="241"/>
      <c r="C40" s="241"/>
      <c r="D40" s="275"/>
      <c r="E40" s="241"/>
      <c r="F40" s="276"/>
      <c r="G40" s="241"/>
      <c r="H40" s="287"/>
      <c r="I40" s="289"/>
      <c r="J40" s="284"/>
      <c r="K40" s="247"/>
      <c r="L40" s="249"/>
      <c r="M40" s="251"/>
      <c r="N40" s="253"/>
      <c r="O40" s="255"/>
      <c r="P40" s="257"/>
      <c r="Q40" s="255" t="e">
        <f>IF(OR(#REF!=datos!$AB$10,#REF!=datos!$AB$16),"",VLOOKUP(#REF!,datos!$AA$10:$AC$21,3,0))</f>
        <v>#REF!</v>
      </c>
      <c r="R40" s="259"/>
      <c r="S40" s="96">
        <v>2</v>
      </c>
      <c r="T40" s="135" t="s">
        <v>630</v>
      </c>
      <c r="U40" s="177" t="s">
        <v>631</v>
      </c>
      <c r="V40" s="85" t="s">
        <v>620</v>
      </c>
      <c r="W40" s="83" t="s">
        <v>632</v>
      </c>
      <c r="X40" s="83" t="s">
        <v>633</v>
      </c>
      <c r="Y40" s="83" t="s">
        <v>634</v>
      </c>
      <c r="Z40" s="83" t="s">
        <v>635</v>
      </c>
      <c r="AA40" s="83" t="s">
        <v>636</v>
      </c>
      <c r="AB40" s="83" t="s">
        <v>626</v>
      </c>
      <c r="AC40" s="138" t="str">
        <f>IF(AD40="","",VLOOKUP(AD40,datos!$AT$6:$AU$9,2,0))</f>
        <v>Probabilidad</v>
      </c>
      <c r="AD40" s="135" t="s">
        <v>80</v>
      </c>
      <c r="AE40" s="135"/>
      <c r="AF40" s="92">
        <f>IF(AND(AD40="",AE40=""),"",IF(AD40="",0,VLOOKUP(AD40,datos!$AP$3:$AR$7,3,0))+IF(AE40="",0,VLOOKUP(AE40,datos!$AP$3:$AR$7,3,0)))</f>
        <v>0.25</v>
      </c>
      <c r="AG40" s="108" t="str">
        <f>IF(OR(AH40="",AH40=0),"",IF(AH40&lt;=datos!$AC$3,datos!$AE$3,IF(AH40&lt;=datos!$AC$4,datos!$AE$4,IF(AH40&lt;=datos!$AC$5,datos!$AE$5,IF(AH40&lt;=datos!$AC$6,datos!$AE$6,IF(AH40&lt;=datos!$AC$7,datos!$AE$7,""))))))</f>
        <v>Baja</v>
      </c>
      <c r="AH40" s="109">
        <f>IF(AC40="","",IF(S40=1,IF(AC40="Probabilidad",O40-(O40*AF40),O40),IF(AC40="Probabilidad",AH39-(AH39*AF40),AH39)))</f>
        <v>0.33749999999999997</v>
      </c>
      <c r="AI40" s="144" t="str">
        <f>+IF(AJ40&lt;=datos!$AD$11,datos!$AC$11,IF(AJ40&lt;=datos!$AD$12,datos!$AC$12,IF(AJ40&lt;=datos!$AD$13,datos!$AC$13,IF(AJ40&lt;=datos!$AD$14,datos!$AC$14,IF(AJ40&lt;=datos!$AD$15,datos!$AC$15,"")))))</f>
        <v>Catastrófico</v>
      </c>
      <c r="AJ40" s="109">
        <f>IF(AC40="","",IF(S40=1,IF(AC40="Impacto",Q40-(Q40*AF40),Q40),IF(AC40="Impacto",AJ39-(AJ39*AF40),AJ39)))</f>
        <v>1</v>
      </c>
      <c r="AK40" s="144" t="str">
        <f ca="1">_xlfn.IFERROR(INDIRECT("datos!"&amp;HLOOKUP(AI40,calculo_imp,2,FALSE)&amp;VLOOKUP(AG40,calculo_prob,2,FALSE)),"")</f>
        <v>Extremo</v>
      </c>
      <c r="AL40" s="90" t="s">
        <v>92</v>
      </c>
      <c r="AM40" s="140" t="s">
        <v>637</v>
      </c>
      <c r="AN40" s="84"/>
      <c r="AO40" s="84"/>
      <c r="AP40" s="135" t="s">
        <v>638</v>
      </c>
      <c r="AQ40" s="235"/>
      <c r="AR40" s="237"/>
    </row>
    <row r="41" spans="1:44" ht="144.75" thickBot="1">
      <c r="A41" s="230">
        <v>23</v>
      </c>
      <c r="B41" s="136" t="s">
        <v>42</v>
      </c>
      <c r="C41" s="136" t="s">
        <v>268</v>
      </c>
      <c r="D41" s="138"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136" t="s">
        <v>55</v>
      </c>
      <c r="F41" s="136" t="s">
        <v>639</v>
      </c>
      <c r="G41" s="136" t="s">
        <v>640</v>
      </c>
      <c r="H41" s="136" t="s">
        <v>252</v>
      </c>
      <c r="I41" s="136" t="s">
        <v>641</v>
      </c>
      <c r="J41" s="136" t="s">
        <v>642</v>
      </c>
      <c r="K41" s="148" t="s">
        <v>197</v>
      </c>
      <c r="L41" s="133" t="s">
        <v>210</v>
      </c>
      <c r="M41" s="141">
        <v>65012</v>
      </c>
      <c r="N41" s="143" t="str">
        <f>_xlfn.IFERROR(VLOOKUP(O41,datos!$AC$2:$AE$7,3,0),"")</f>
        <v>Muy Alta</v>
      </c>
      <c r="O41" s="131">
        <f>+IF(OR(M41="",M41=0),"",IF(M41&lt;=datos!$AD$3,datos!$AC$3,IF(AND(M41&gt;datos!$AD$3,M41&lt;=datos!$AD$4),datos!$AC$4,IF(AND(M41&gt;datos!$AD$4,M41&lt;=datos!$AD$5),datos!$AC$5,IF(AND(M41&gt;datos!$AD$5,M41&lt;=datos!$AD$6),datos!$AC$6,IF(M41&gt;datos!$AD$7,datos!$AC$7,0))))))</f>
        <v>1</v>
      </c>
      <c r="P41" s="145" t="str">
        <f>+HLOOKUP(A41,'Impacto Riesgo de Corrupción'!$D$5:$AS$26,22,0)</f>
        <v>Catastrófico</v>
      </c>
      <c r="Q41" s="131">
        <f>+IF(P41="","",VLOOKUP(P41,datos!$AC$12:$AD$15,2,0))</f>
        <v>1</v>
      </c>
      <c r="R41" s="142" t="str">
        <f ca="1">_xlfn.IFERROR(INDIRECT("datos!"&amp;HLOOKUP(P41,calculo_imp,2,FALSE)&amp;VLOOKUP(N41,calculo_prob,2,FALSE)),"")</f>
        <v>Extremo</v>
      </c>
      <c r="S41" s="94">
        <v>1</v>
      </c>
      <c r="T41" s="198" t="s">
        <v>643</v>
      </c>
      <c r="U41" s="199" t="s">
        <v>644</v>
      </c>
      <c r="V41" s="200" t="s">
        <v>645</v>
      </c>
      <c r="W41" s="200" t="s">
        <v>646</v>
      </c>
      <c r="X41" s="200" t="s">
        <v>647</v>
      </c>
      <c r="Y41" s="200" t="s">
        <v>648</v>
      </c>
      <c r="Z41" s="200" t="s">
        <v>649</v>
      </c>
      <c r="AA41" s="201" t="s">
        <v>650</v>
      </c>
      <c r="AB41" s="201" t="s">
        <v>651</v>
      </c>
      <c r="AC41" s="138" t="str">
        <f>IF(AD41="","",VLOOKUP(AD41,datos!$AT$6:$AU$9,2,0))</f>
        <v>Probabilidad</v>
      </c>
      <c r="AD41" s="201" t="s">
        <v>80</v>
      </c>
      <c r="AE41" s="201" t="s">
        <v>84</v>
      </c>
      <c r="AF41" s="92">
        <f>IF(AND(AD41="",AE41=""),"",IF(AD41="",0,VLOOKUP(AD41,datos!$AP$3:$AR$7,3,0))+IF(AE41="",0,VLOOKUP(AE41,datos!$AP$3:$AR$7,3,0)))</f>
        <v>0.4</v>
      </c>
      <c r="AG41" s="108" t="str">
        <f>IF(OR(AH41="",AH41=0),"",IF(AH41&lt;=datos!$AC$3,datos!$AE$3,IF(AH41&lt;=datos!$AC$4,datos!$AE$4,IF(AH41&lt;=datos!$AC$5,datos!$AE$5,IF(AH41&lt;=datos!$AC$6,datos!$AE$6,IF(AH41&lt;=datos!$AC$7,datos!$AE$7,""))))))</f>
        <v>Media</v>
      </c>
      <c r="AH41" s="109">
        <f>IF(AC41="","",IF(S41=1,IF(AC41="Probabilidad",O41-(O41*AF41),O41),IF(AC41="Probabilidad",AH40-(AH40*AF41),AH40)))</f>
        <v>0.6</v>
      </c>
      <c r="AI41" s="144" t="str">
        <f>+IF(AJ41&lt;=datos!$AD$11,datos!$AC$11,IF(AJ41&lt;=datos!$AD$12,datos!$AC$12,IF(AJ41&lt;=datos!$AD$13,datos!$AC$13,IF(AJ41&lt;=datos!$AD$14,datos!$AC$14,IF(AJ41&lt;=datos!$AD$15,datos!$AC$15,"")))))</f>
        <v>Catastrófico</v>
      </c>
      <c r="AJ41" s="109">
        <f>IF(AC41="","",IF(S41=1,IF(AC41="Impacto",Q41-(Q41*AF41),Q41),IF(AC41="Impacto",AJ40-(AJ40*AF41),AJ40)))</f>
        <v>1</v>
      </c>
      <c r="AK41" s="144" t="str">
        <f ca="1">_xlfn.IFERROR(INDIRECT("datos!"&amp;HLOOKUP(AI41,calculo_imp,2,FALSE)&amp;VLOOKUP(AG41,calculo_prob,2,FALSE)),"")</f>
        <v>Extremo</v>
      </c>
      <c r="AL41" s="202" t="s">
        <v>92</v>
      </c>
      <c r="AM41" s="198" t="s">
        <v>652</v>
      </c>
      <c r="AN41" s="198" t="s">
        <v>652</v>
      </c>
      <c r="AO41" s="198" t="s">
        <v>652</v>
      </c>
      <c r="AP41" s="198" t="s">
        <v>652</v>
      </c>
      <c r="AQ41" s="203" t="s">
        <v>538</v>
      </c>
      <c r="AR41" s="134">
        <v>0</v>
      </c>
    </row>
    <row r="42" spans="1:44" ht="144" customHeight="1" thickBot="1">
      <c r="A42" s="230">
        <v>24</v>
      </c>
      <c r="B42" s="136" t="s">
        <v>42</v>
      </c>
      <c r="C42" s="136" t="s">
        <v>268</v>
      </c>
      <c r="D42" s="138"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136" t="s">
        <v>55</v>
      </c>
      <c r="F42" s="136" t="s">
        <v>653</v>
      </c>
      <c r="G42" s="136" t="s">
        <v>654</v>
      </c>
      <c r="H42" s="136" t="s">
        <v>252</v>
      </c>
      <c r="I42" s="136" t="s">
        <v>641</v>
      </c>
      <c r="J42" s="136" t="s">
        <v>655</v>
      </c>
      <c r="K42" s="148" t="s">
        <v>197</v>
      </c>
      <c r="L42" s="133" t="s">
        <v>210</v>
      </c>
      <c r="M42" s="204" t="s">
        <v>656</v>
      </c>
      <c r="N42" s="143" t="str">
        <f>_xlfn.IFERROR(VLOOKUP(O42,datos!$AC$2:$AE$7,3,0),"")</f>
        <v>Muy Alta</v>
      </c>
      <c r="O42" s="131">
        <f>+IF(OR(M42="",M42=0),"",IF(M42&lt;=datos!$AD$3,datos!$AC$3,IF(AND(M42&gt;datos!$AD$3,M42&lt;=datos!$AD$4),datos!$AC$4,IF(AND(M42&gt;datos!$AD$4,M42&lt;=datos!$AD$5),datos!$AC$5,IF(AND(M42&gt;datos!$AD$5,M42&lt;=datos!$AD$6),datos!$AC$6,IF(M42&gt;datos!$AD$7,datos!$AC$7,0))))))</f>
        <v>1</v>
      </c>
      <c r="P42" s="145" t="str">
        <f>+HLOOKUP(A42,'Impacto Riesgo de Corrupción'!$D$5:$AS$26,22,0)</f>
        <v>Catastrófico</v>
      </c>
      <c r="Q42" s="131">
        <f>+IF(P42="","",VLOOKUP(P42,datos!$AC$12:$AD$15,2,0))</f>
        <v>1</v>
      </c>
      <c r="R42" s="142" t="str">
        <f ca="1">_xlfn.IFERROR(INDIRECT("datos!"&amp;HLOOKUP(P42,calculo_imp,2,FALSE)&amp;VLOOKUP(N42,calculo_prob,2,FALSE)),"")</f>
        <v>Extremo</v>
      </c>
      <c r="S42" s="94">
        <v>1</v>
      </c>
      <c r="T42" s="198" t="s">
        <v>657</v>
      </c>
      <c r="U42" s="199" t="s">
        <v>658</v>
      </c>
      <c r="V42" s="199" t="s">
        <v>659</v>
      </c>
      <c r="W42" s="200" t="s">
        <v>660</v>
      </c>
      <c r="X42" s="200" t="s">
        <v>661</v>
      </c>
      <c r="Y42" s="200" t="s">
        <v>662</v>
      </c>
      <c r="Z42" s="200" t="s">
        <v>663</v>
      </c>
      <c r="AA42" s="198" t="s">
        <v>652</v>
      </c>
      <c r="AB42" s="201" t="s">
        <v>651</v>
      </c>
      <c r="AC42" s="138" t="str">
        <f>IF(AD42="","",VLOOKUP(AD42,datos!$AT$6:$AU$9,2,0))</f>
        <v>Probabilidad</v>
      </c>
      <c r="AD42" s="201" t="s">
        <v>80</v>
      </c>
      <c r="AE42" s="201" t="s">
        <v>84</v>
      </c>
      <c r="AF42" s="92">
        <f>IF(AND(AD42="",AE42=""),"",IF(AD42="",0,VLOOKUP(AD42,datos!$AP$3:$AR$7,3,0))+IF(AE42="",0,VLOOKUP(AE42,datos!$AP$3:$AR$7,3,0)))</f>
        <v>0.4</v>
      </c>
      <c r="AG42" s="108" t="str">
        <f>IF(OR(AH42="",AH42=0),"",IF(AH42&lt;=datos!$AC$3,datos!$AE$3,IF(AH42&lt;=datos!$AC$4,datos!$AE$4,IF(AH42&lt;=datos!$AC$5,datos!$AE$5,IF(AH42&lt;=datos!$AC$6,datos!$AE$6,IF(AH42&lt;=datos!$AC$7,datos!$AE$7,""))))))</f>
        <v>Media</v>
      </c>
      <c r="AH42" s="109">
        <f>IF(AC42="","",IF(S42=1,IF(AC42="Probabilidad",O42-(O42*AF42),O42),IF(AC42="Probabilidad",AH41-(AH41*AF42),AH41)))</f>
        <v>0.6</v>
      </c>
      <c r="AI42" s="144" t="str">
        <f>+IF(AJ42&lt;=datos!$AD$11,datos!$AC$11,IF(AJ42&lt;=datos!$AD$12,datos!$AC$12,IF(AJ42&lt;=datos!$AD$13,datos!$AC$13,IF(AJ42&lt;=datos!$AD$14,datos!$AC$14,IF(AJ42&lt;=datos!$AD$15,datos!$AC$15,"")))))</f>
        <v>Catastrófico</v>
      </c>
      <c r="AJ42" s="109">
        <f>IF(AC42="","",IF(S42=1,IF(AC42="Impacto",Q42-(Q42*AF42),Q42),IF(AC42="Impacto",AJ41-(AJ41*AF42),AJ41)))</f>
        <v>1</v>
      </c>
      <c r="AK42" s="144" t="str">
        <f ca="1">_xlfn.IFERROR(INDIRECT("datos!"&amp;HLOOKUP(AI42,calculo_imp,2,FALSE)&amp;VLOOKUP(AG42,calculo_prob,2,FALSE)),"")</f>
        <v>Extremo</v>
      </c>
      <c r="AL42" s="202" t="s">
        <v>92</v>
      </c>
      <c r="AM42" s="198" t="s">
        <v>652</v>
      </c>
      <c r="AN42" s="198" t="s">
        <v>652</v>
      </c>
      <c r="AO42" s="198" t="s">
        <v>652</v>
      </c>
      <c r="AP42" s="198" t="s">
        <v>652</v>
      </c>
      <c r="AQ42" s="203" t="s">
        <v>538</v>
      </c>
      <c r="AR42" s="134">
        <v>0</v>
      </c>
    </row>
    <row r="43" spans="1:44" ht="96.75" customHeight="1" thickBot="1">
      <c r="A43" s="230">
        <v>25</v>
      </c>
      <c r="B43" s="136" t="s">
        <v>40</v>
      </c>
      <c r="C43" s="136" t="s">
        <v>266</v>
      </c>
      <c r="D43" s="138" t="s">
        <v>137</v>
      </c>
      <c r="E43" s="196" t="s">
        <v>55</v>
      </c>
      <c r="F43" s="196" t="s">
        <v>664</v>
      </c>
      <c r="G43" s="136" t="s">
        <v>665</v>
      </c>
      <c r="H43" s="136" t="s">
        <v>252</v>
      </c>
      <c r="I43" s="136" t="s">
        <v>492</v>
      </c>
      <c r="J43" s="136" t="s">
        <v>666</v>
      </c>
      <c r="K43" s="148" t="s">
        <v>197</v>
      </c>
      <c r="L43" s="133" t="s">
        <v>210</v>
      </c>
      <c r="M43" s="141">
        <v>89</v>
      </c>
      <c r="N43" s="143" t="str">
        <f>_xlfn.IFERROR(VLOOKUP(O43,datos!$AC$2:$AE$7,3,0),"")</f>
        <v>Media</v>
      </c>
      <c r="O43" s="131">
        <f>+IF(OR(M43="",M43=0),"",IF(M43&lt;=datos!$AD$3,datos!$AC$3,IF(AND(M43&gt;datos!$AD$3,M43&lt;=datos!$AD$4),datos!$AC$4,IF(AND(M43&gt;datos!$AD$4,M43&lt;=datos!$AD$5),datos!$AC$5,IF(AND(M43&gt;datos!$AD$5,M43&lt;=datos!$AD$6),datos!$AC$6,IF(M43&gt;datos!$AD$7,datos!$AC$7,0))))))</f>
        <v>0.6</v>
      </c>
      <c r="P43" s="145" t="str">
        <f>+HLOOKUP(A43,'Impacto Riesgo de Corrupción'!$D$5:$AS$26,22,0)</f>
        <v>Mayor</v>
      </c>
      <c r="Q43" s="131">
        <f>+IF(P43="","",VLOOKUP(P43,datos!$AC$12:$AD$15,2,0))</f>
        <v>0.8</v>
      </c>
      <c r="R43" s="142" t="str">
        <f ca="1">_xlfn.IFERROR(INDIRECT("datos!"&amp;HLOOKUP(P43,calculo_imp,2,FALSE)&amp;VLOOKUP(N43,calculo_prob,2,FALSE)),"")</f>
        <v>Alto</v>
      </c>
      <c r="S43" s="94">
        <v>1</v>
      </c>
      <c r="T43" s="95" t="s">
        <v>667</v>
      </c>
      <c r="U43" s="85" t="s">
        <v>668</v>
      </c>
      <c r="V43" s="85" t="s">
        <v>669</v>
      </c>
      <c r="W43" s="85" t="s">
        <v>670</v>
      </c>
      <c r="X43" s="85" t="s">
        <v>671</v>
      </c>
      <c r="Y43" s="85" t="s">
        <v>672</v>
      </c>
      <c r="Z43" s="158" t="s">
        <v>673</v>
      </c>
      <c r="AA43" s="158" t="s">
        <v>674</v>
      </c>
      <c r="AB43" s="85" t="s">
        <v>675</v>
      </c>
      <c r="AC43" s="138" t="str">
        <f>IF(AD43="","",VLOOKUP(AD43,datos!$AT$6:$AU$9,2,0))</f>
        <v>Probabilidad</v>
      </c>
      <c r="AD43" s="136" t="s">
        <v>80</v>
      </c>
      <c r="AE43" s="136" t="s">
        <v>84</v>
      </c>
      <c r="AF43" s="92">
        <f>IF(AND(AD43="",AE43=""),"",IF(AD43="",0,VLOOKUP(AD43,datos!$AP$3:$AR$7,3,0))+IF(AE43="",0,VLOOKUP(AE43,datos!$AP$3:$AR$7,3,0)))</f>
        <v>0.4</v>
      </c>
      <c r="AG43" s="108" t="str">
        <f>IF(OR(AH43="",AH43=0),"",IF(AH43&lt;=datos!$AC$3,datos!$AE$3,IF(AH43&lt;=datos!$AC$4,datos!$AE$4,IF(AH43&lt;=datos!$AC$5,datos!$AE$5,IF(AH43&lt;=datos!$AC$6,datos!$AE$6,IF(AH43&lt;=datos!$AC$7,datos!$AE$7,""))))))</f>
        <v>Baja</v>
      </c>
      <c r="AH43" s="109">
        <f>IF(AC43="","",IF(S43=1,IF(AC43="Probabilidad",O43-(O43*AF43),O43),IF(AC43="Probabilidad",AH42-(AH42*AF43),AH42)))</f>
        <v>0.36</v>
      </c>
      <c r="AI43" s="144" t="str">
        <f>+IF(AJ43&lt;=datos!$AD$11,datos!$AC$11,IF(AJ43&lt;=datos!$AD$12,datos!$AC$12,IF(AJ43&lt;=datos!$AD$13,datos!$AC$13,IF(AJ43&lt;=datos!$AD$14,datos!$AC$14,IF(AJ43&lt;=datos!$AD$15,datos!$AC$15,"")))))</f>
        <v>Mayor</v>
      </c>
      <c r="AJ43" s="109">
        <f>IF(AC43="","",IF(S43=1,IF(AC43="Impacto",Q43-(Q43*AF43),Q43),IF(AC43="Impacto",AJ42-(AJ42*AF43),AJ42)))</f>
        <v>0.8</v>
      </c>
      <c r="AK43" s="144" t="str">
        <f ca="1">_xlfn.IFERROR(INDIRECT("datos!"&amp;HLOOKUP(AI43,calculo_imp,2,FALSE)&amp;VLOOKUP(AG43,calculo_prob,2,FALSE)),"")</f>
        <v>Alto</v>
      </c>
      <c r="AL43" s="89"/>
      <c r="AM43" s="141"/>
      <c r="AN43" s="86"/>
      <c r="AO43" s="86"/>
      <c r="AP43" s="136"/>
      <c r="AQ43" s="146" t="s">
        <v>676</v>
      </c>
      <c r="AR43" s="147">
        <v>0</v>
      </c>
    </row>
    <row r="44" spans="1:44" ht="240.75" customHeight="1" thickBot="1">
      <c r="A44" s="238">
        <v>26</v>
      </c>
      <c r="B44" s="240" t="s">
        <v>40</v>
      </c>
      <c r="C44" s="240" t="s">
        <v>266</v>
      </c>
      <c r="D44" s="274" t="s">
        <v>137</v>
      </c>
      <c r="E44" s="240" t="s">
        <v>55</v>
      </c>
      <c r="F44" s="313" t="s">
        <v>677</v>
      </c>
      <c r="G44" s="240" t="s">
        <v>678</v>
      </c>
      <c r="H44" s="240" t="s">
        <v>252</v>
      </c>
      <c r="I44" s="240" t="s">
        <v>492</v>
      </c>
      <c r="J44" s="240" t="s">
        <v>679</v>
      </c>
      <c r="K44" s="246" t="s">
        <v>197</v>
      </c>
      <c r="L44" s="248" t="s">
        <v>210</v>
      </c>
      <c r="M44" s="250">
        <f>652+647</f>
        <v>1299</v>
      </c>
      <c r="N44" s="252" t="str">
        <f>_xlfn.IFERROR(VLOOKUP(O44,datos!$AC$2:$AE$7,3,0),"")</f>
        <v>Alta</v>
      </c>
      <c r="O44" s="254">
        <f>+IF(OR(M44="",M44=0),"",IF(M44&lt;=datos!$AD$3,datos!$AC$3,IF(AND(M44&gt;datos!$AD$3,M44&lt;=datos!$AD$4),datos!$AC$4,IF(AND(M44&gt;datos!$AD$4,M44&lt;=datos!$AD$5),datos!$AC$5,IF(AND(M44&gt;datos!$AD$5,M44&lt;=datos!$AD$6),datos!$AC$6,IF(M44&gt;datos!$AD$7,datos!$AC$7,0))))))</f>
        <v>0.8</v>
      </c>
      <c r="P44" s="256" t="str">
        <f>+HLOOKUP(A44,'Impacto Riesgo de Corrupción'!$D$5:$AS$26,22,0)</f>
        <v>Mayor</v>
      </c>
      <c r="Q44" s="254">
        <f>+IF(P44="","",VLOOKUP(P44,datos!$AC$12:$AD$15,2,0))</f>
        <v>0.8</v>
      </c>
      <c r="R44" s="258" t="str">
        <f ca="1">_xlfn.IFERROR(INDIRECT("datos!"&amp;HLOOKUP(P44,calculo_imp,2,FALSE)&amp;VLOOKUP(N44,calculo_prob,2,FALSE)),"")</f>
        <v>Alto</v>
      </c>
      <c r="S44" s="94">
        <v>1</v>
      </c>
      <c r="T44" s="95" t="s">
        <v>680</v>
      </c>
      <c r="U44" s="85" t="s">
        <v>681</v>
      </c>
      <c r="V44" s="85" t="s">
        <v>682</v>
      </c>
      <c r="W44" s="158" t="s">
        <v>683</v>
      </c>
      <c r="X44" s="85" t="s">
        <v>684</v>
      </c>
      <c r="Y44" s="85" t="s">
        <v>685</v>
      </c>
      <c r="Z44" s="158" t="s">
        <v>686</v>
      </c>
      <c r="AA44" s="158" t="s">
        <v>687</v>
      </c>
      <c r="AB44" s="85" t="s">
        <v>675</v>
      </c>
      <c r="AC44" s="138" t="str">
        <f>IF(AD44="","",VLOOKUP(AD44,datos!$AT$6:$AU$9,2,0))</f>
        <v>Probabilidad</v>
      </c>
      <c r="AD44" s="136" t="s">
        <v>80</v>
      </c>
      <c r="AE44" s="136" t="s">
        <v>84</v>
      </c>
      <c r="AF44" s="92">
        <f>IF(AND(AD44="",AE44=""),"",IF(AD44="",0,VLOOKUP(AD44,datos!$AP$3:$AR$7,3,0))+IF(AE44="",0,VLOOKUP(AE44,datos!$AP$3:$AR$7,3,0)))</f>
        <v>0.4</v>
      </c>
      <c r="AG44" s="108" t="str">
        <f>IF(OR(AH44="",AH44=0),"",IF(AH44&lt;=datos!$AC$3,datos!$AE$3,IF(AH44&lt;=datos!$AC$4,datos!$AE$4,IF(AH44&lt;=datos!$AC$5,datos!$AE$5,IF(AH44&lt;=datos!$AC$6,datos!$AE$6,IF(AH44&lt;=datos!$AC$7,datos!$AE$7,""))))))</f>
        <v>Media</v>
      </c>
      <c r="AH44" s="109">
        <f>IF(AC44="","",IF(S44=1,IF(AC44="Probabilidad",O44-(O44*AF44),O44),IF(AC44="Probabilidad",AH43-(AH43*AF44),AH43)))</f>
        <v>0.48</v>
      </c>
      <c r="AI44" s="144" t="str">
        <f>+IF(AJ44&lt;=datos!$AD$11,datos!$AC$11,IF(AJ44&lt;=datos!$AD$12,datos!$AC$12,IF(AJ44&lt;=datos!$AD$13,datos!$AC$13,IF(AJ44&lt;=datos!$AD$14,datos!$AC$14,IF(AJ44&lt;=datos!$AD$15,datos!$AC$15,"")))))</f>
        <v>Mayor</v>
      </c>
      <c r="AJ44" s="109">
        <f>IF(AC44="","",IF(S44=1,IF(AC44="Impacto",Q44-(Q44*AF44),Q44),IF(AC44="Impacto",AJ43-(AJ43*AF44),AJ43)))</f>
        <v>0.8</v>
      </c>
      <c r="AK44" s="144" t="str">
        <f ca="1">_xlfn.IFERROR(INDIRECT("datos!"&amp;HLOOKUP(AI44,calculo_imp,2,FALSE)&amp;VLOOKUP(AG44,calculo_prob,2,FALSE)),"")</f>
        <v>Alto</v>
      </c>
      <c r="AL44" s="89"/>
      <c r="AM44" s="141"/>
      <c r="AN44" s="86"/>
      <c r="AO44" s="86"/>
      <c r="AP44" s="136"/>
      <c r="AQ44" s="234" t="s">
        <v>676</v>
      </c>
      <c r="AR44" s="236">
        <v>0</v>
      </c>
    </row>
    <row r="45" spans="1:44" ht="84.75" thickBot="1">
      <c r="A45" s="239"/>
      <c r="B45" s="241"/>
      <c r="C45" s="241"/>
      <c r="D45" s="275"/>
      <c r="E45" s="241"/>
      <c r="F45" s="314"/>
      <c r="G45" s="241"/>
      <c r="H45" s="241"/>
      <c r="I45" s="241"/>
      <c r="J45" s="241"/>
      <c r="K45" s="247"/>
      <c r="L45" s="249"/>
      <c r="M45" s="251"/>
      <c r="N45" s="253"/>
      <c r="O45" s="255"/>
      <c r="P45" s="257"/>
      <c r="Q45" s="255" t="e">
        <f>IF(OR(#REF!=datos!$AB$10,#REF!=datos!$AB$16),"",VLOOKUP(#REF!,datos!$AA$10:$AC$21,3,0))</f>
        <v>#REF!</v>
      </c>
      <c r="R45" s="259"/>
      <c r="S45" s="96">
        <v>2</v>
      </c>
      <c r="T45" s="97" t="s">
        <v>688</v>
      </c>
      <c r="U45" s="83" t="s">
        <v>689</v>
      </c>
      <c r="V45" s="85" t="s">
        <v>690</v>
      </c>
      <c r="W45" s="83" t="s">
        <v>691</v>
      </c>
      <c r="X45" s="83" t="s">
        <v>692</v>
      </c>
      <c r="Y45" s="83" t="s">
        <v>693</v>
      </c>
      <c r="Z45" s="83" t="s">
        <v>694</v>
      </c>
      <c r="AA45" s="83" t="s">
        <v>695</v>
      </c>
      <c r="AB45" s="85" t="s">
        <v>675</v>
      </c>
      <c r="AC45" s="138" t="str">
        <f>IF(AD45="","",VLOOKUP(AD45,datos!$AT$6:$AU$9,2,0))</f>
        <v>Probabilidad</v>
      </c>
      <c r="AD45" s="135" t="s">
        <v>80</v>
      </c>
      <c r="AE45" s="135" t="s">
        <v>84</v>
      </c>
      <c r="AF45" s="92">
        <f>IF(AND(AD45="",AE45=""),"",IF(AD45="",0,VLOOKUP(AD45,datos!$AP$3:$AR$7,3,0))+IF(AE45="",0,VLOOKUP(AE45,datos!$AP$3:$AR$7,3,0)))</f>
        <v>0.4</v>
      </c>
      <c r="AG45" s="108" t="str">
        <f>IF(OR(AH45="",AH45=0),"",IF(AH45&lt;=datos!$AC$3,datos!$AE$3,IF(AH45&lt;=datos!$AC$4,datos!$AE$4,IF(AH45&lt;=datos!$AC$5,datos!$AE$5,IF(AH45&lt;=datos!$AC$6,datos!$AE$6,IF(AH45&lt;=datos!$AC$7,datos!$AE$7,""))))))</f>
        <v>Baja</v>
      </c>
      <c r="AH45" s="109">
        <f>IF(AC45="","",IF(S45=1,IF(AC45="Probabilidad",O45-(O45*AF45),O45),IF(AC45="Probabilidad",AH44-(AH44*AF45),AH44)))</f>
        <v>0.288</v>
      </c>
      <c r="AI45" s="144" t="str">
        <f>+IF(AJ45&lt;=datos!$AD$11,datos!$AC$11,IF(AJ45&lt;=datos!$AD$12,datos!$AC$12,IF(AJ45&lt;=datos!$AD$13,datos!$AC$13,IF(AJ45&lt;=datos!$AD$14,datos!$AC$14,IF(AJ45&lt;=datos!$AD$15,datos!$AC$15,"")))))</f>
        <v>Mayor</v>
      </c>
      <c r="AJ45" s="109">
        <f>IF(AC45="","",IF(S45=1,IF(AC45="Impacto",Q45-(Q45*AF45),Q45),IF(AC45="Impacto",AJ44-(AJ44*AF45),AJ44)))</f>
        <v>0.8</v>
      </c>
      <c r="AK45" s="144" t="str">
        <f ca="1">_xlfn.IFERROR(INDIRECT("datos!"&amp;HLOOKUP(AI45,calculo_imp,2,FALSE)&amp;VLOOKUP(AG45,calculo_prob,2,FALSE)),"")</f>
        <v>Alto</v>
      </c>
      <c r="AL45" s="90"/>
      <c r="AM45" s="140"/>
      <c r="AN45" s="84"/>
      <c r="AO45" s="84"/>
      <c r="AP45" s="135"/>
      <c r="AQ45" s="235"/>
      <c r="AR45" s="237"/>
    </row>
    <row r="46" spans="1:44" ht="72.75" thickBot="1">
      <c r="A46" s="282">
        <v>27</v>
      </c>
      <c r="B46" s="241" t="s">
        <v>45</v>
      </c>
      <c r="C46" s="241" t="s">
        <v>269</v>
      </c>
      <c r="D46" s="274" t="str">
        <f>_xlfn.IFERROR(VLOOKUP(B46,datos!$B$1:$C$21,2,0),"")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6" s="241" t="s">
        <v>55</v>
      </c>
      <c r="F46" s="241" t="s">
        <v>696</v>
      </c>
      <c r="G46" s="241" t="s">
        <v>697</v>
      </c>
      <c r="H46" s="241" t="s">
        <v>252</v>
      </c>
      <c r="I46" s="241" t="s">
        <v>492</v>
      </c>
      <c r="J46" s="241" t="s">
        <v>698</v>
      </c>
      <c r="K46" s="241" t="s">
        <v>197</v>
      </c>
      <c r="L46" s="241" t="s">
        <v>57</v>
      </c>
      <c r="M46" s="281">
        <v>10000</v>
      </c>
      <c r="N46" s="252" t="str">
        <f>_xlfn.IFERROR(VLOOKUP(O46,datos!$AC$2:$AE$7,3,0),"")</f>
        <v>Muy Alta</v>
      </c>
      <c r="O46" s="254">
        <f>+IF(OR(M46="",M46=0),"",IF(M46&lt;=datos!$AD$3,datos!$AC$3,IF(AND(M46&gt;datos!$AD$3,M46&lt;=datos!$AD$4),datos!$AC$4,IF(AND(M46&gt;datos!$AD$4,M46&lt;=datos!$AD$5),datos!$AC$5,IF(AND(M46&gt;datos!$AD$5,M46&lt;=datos!$AD$6),datos!$AC$6,IF(M46&gt;datos!$AD$7,datos!$AC$7,0))))))</f>
        <v>1</v>
      </c>
      <c r="P46" s="256" t="str">
        <f>+HLOOKUP(A46,'Impacto Riesgo de Corrupción'!$D$5:$AS$26,22,0)</f>
        <v>Catastrófico</v>
      </c>
      <c r="Q46" s="254">
        <f>+IF(P46="","",VLOOKUP(P46,datos!$AC$12:$AD$15,2,0))</f>
        <v>1</v>
      </c>
      <c r="R46" s="258" t="str">
        <f ca="1">_xlfn.IFERROR(INDIRECT("datos!"&amp;HLOOKUP(P46,calculo_imp,2,FALSE)&amp;VLOOKUP(N46,calculo_prob,2,FALSE)),"")</f>
        <v>Extremo</v>
      </c>
      <c r="S46" s="205">
        <v>1</v>
      </c>
      <c r="T46" s="159" t="s">
        <v>699</v>
      </c>
      <c r="U46" s="160" t="s">
        <v>700</v>
      </c>
      <c r="V46" s="160" t="s">
        <v>701</v>
      </c>
      <c r="W46" s="206" t="s">
        <v>702</v>
      </c>
      <c r="X46" s="206" t="s">
        <v>703</v>
      </c>
      <c r="Y46" s="160" t="s">
        <v>704</v>
      </c>
      <c r="Z46" s="206" t="s">
        <v>705</v>
      </c>
      <c r="AA46" s="279" t="s">
        <v>706</v>
      </c>
      <c r="AB46" s="243" t="s">
        <v>707</v>
      </c>
      <c r="AC46" s="138" t="str">
        <f>IF(AD46="","",VLOOKUP(AD46,datos!$AT$6:$AU$9,2,0))</f>
        <v>Probabilidad</v>
      </c>
      <c r="AD46" s="135" t="s">
        <v>81</v>
      </c>
      <c r="AE46" s="135" t="s">
        <v>84</v>
      </c>
      <c r="AF46" s="92">
        <f>IF(AND(AD46="",AE46=""),"",IF(AD46="",0,VLOOKUP(AD46,datos!$AP$3:$AR$7,3,0))+IF(AE46="",0,VLOOKUP(AE46,datos!$AP$3:$AR$7,3,0)))</f>
        <v>0.3</v>
      </c>
      <c r="AG46" s="108" t="str">
        <f>IF(OR(AH46="",AH46=0),"",IF(AH46&lt;=datos!$AC$3,datos!$AE$3,IF(AH46&lt;=datos!$AC$4,datos!$AE$4,IF(AH46&lt;=datos!$AC$5,datos!$AE$5,IF(AH46&lt;=datos!$AC$6,datos!$AE$6,IF(AH46&lt;=datos!$AC$7,datos!$AE$7,""))))))</f>
        <v>Alta</v>
      </c>
      <c r="AH46" s="109">
        <f>IF(AC46="","",IF(S46=1,IF(AC46="Probabilidad",O46-(O46*AF46),O46),IF(AC46="Probabilidad",AH45-(AH45*AF46),AH45)))</f>
        <v>0.7</v>
      </c>
      <c r="AI46" s="144" t="str">
        <f>+IF(AJ46&lt;=datos!$AD$11,datos!$AC$11,IF(AJ46&lt;=datos!$AD$12,datos!$AC$12,IF(AJ46&lt;=datos!$AD$13,datos!$AC$13,IF(AJ46&lt;=datos!$AD$14,datos!$AC$14,IF(AJ46&lt;=datos!$AD$15,datos!$AC$15,"")))))</f>
        <v>Catastrófico</v>
      </c>
      <c r="AJ46" s="109">
        <f>IF(AC46="","",IF(S46=1,IF(AC46="Impacto",Q46-(Q46*AF46),Q46),IF(AC46="Impacto",AJ45-(AJ45*AF46),AJ45)))</f>
        <v>1</v>
      </c>
      <c r="AK46" s="144" t="str">
        <f ca="1">_xlfn.IFERROR(INDIRECT("datos!"&amp;HLOOKUP(AI46,calculo_imp,2,FALSE)&amp;VLOOKUP(AG46,calculo_prob,2,FALSE)),"")</f>
        <v>Extremo</v>
      </c>
      <c r="AL46" s="97" t="s">
        <v>92</v>
      </c>
      <c r="AM46" s="279" t="s">
        <v>708</v>
      </c>
      <c r="AN46" s="280">
        <v>44561</v>
      </c>
      <c r="AO46" s="280">
        <v>44500</v>
      </c>
      <c r="AP46" s="241"/>
      <c r="AQ46" s="279" t="s">
        <v>709</v>
      </c>
      <c r="AR46" s="241">
        <v>0</v>
      </c>
    </row>
    <row r="47" spans="1:44" ht="72.75" thickBot="1">
      <c r="A47" s="282"/>
      <c r="B47" s="241"/>
      <c r="C47" s="241"/>
      <c r="D47" s="275"/>
      <c r="E47" s="241"/>
      <c r="F47" s="241"/>
      <c r="G47" s="241"/>
      <c r="H47" s="241"/>
      <c r="I47" s="241"/>
      <c r="J47" s="241"/>
      <c r="K47" s="241"/>
      <c r="L47" s="241"/>
      <c r="M47" s="281"/>
      <c r="N47" s="253"/>
      <c r="O47" s="255"/>
      <c r="P47" s="257"/>
      <c r="Q47" s="255" t="e">
        <f>IF(OR(#REF!=datos!$AB$10,#REF!=datos!$AB$16),"",VLOOKUP(#REF!,datos!$AA$10:$AC$21,3,0))</f>
        <v>#REF!</v>
      </c>
      <c r="R47" s="259"/>
      <c r="S47" s="205">
        <v>2</v>
      </c>
      <c r="T47" s="159" t="s">
        <v>710</v>
      </c>
      <c r="U47" s="160" t="s">
        <v>711</v>
      </c>
      <c r="V47" s="160" t="s">
        <v>701</v>
      </c>
      <c r="W47" s="206" t="s">
        <v>712</v>
      </c>
      <c r="X47" s="179" t="s">
        <v>713</v>
      </c>
      <c r="Y47" s="160" t="s">
        <v>714</v>
      </c>
      <c r="Z47" s="206" t="s">
        <v>715</v>
      </c>
      <c r="AA47" s="279"/>
      <c r="AB47" s="243"/>
      <c r="AC47" s="138" t="str">
        <f>IF(AD47="","",VLOOKUP(AD47,datos!$AT$6:$AU$9,2,0))</f>
        <v>Probabilidad</v>
      </c>
      <c r="AD47" s="135" t="s">
        <v>80</v>
      </c>
      <c r="AE47" s="135" t="s">
        <v>84</v>
      </c>
      <c r="AF47" s="92">
        <f>IF(AND(AD47="",AE47=""),"",IF(AD47="",0,VLOOKUP(AD47,datos!$AP$3:$AR$7,3,0))+IF(AE47="",0,VLOOKUP(AE47,datos!$AP$3:$AR$7,3,0)))</f>
        <v>0.4</v>
      </c>
      <c r="AG47" s="108" t="str">
        <f>IF(OR(AH47="",AH47=0),"",IF(AH47&lt;=datos!$AC$3,datos!$AE$3,IF(AH47&lt;=datos!$AC$4,datos!$AE$4,IF(AH47&lt;=datos!$AC$5,datos!$AE$5,IF(AH47&lt;=datos!$AC$6,datos!$AE$6,IF(AH47&lt;=datos!$AC$7,datos!$AE$7,""))))))</f>
        <v>Media</v>
      </c>
      <c r="AH47" s="109">
        <f>IF(AC47="","",IF(S47=1,IF(AC47="Probabilidad",O47-(O47*AF47),O47),IF(AC47="Probabilidad",AH46-(AH46*AF47),AH46)))</f>
        <v>0.42</v>
      </c>
      <c r="AI47" s="144" t="str">
        <f>+IF(AJ47&lt;=datos!$AD$11,datos!$AC$11,IF(AJ47&lt;=datos!$AD$12,datos!$AC$12,IF(AJ47&lt;=datos!$AD$13,datos!$AC$13,IF(AJ47&lt;=datos!$AD$14,datos!$AC$14,IF(AJ47&lt;=datos!$AD$15,datos!$AC$15,"")))))</f>
        <v>Catastrófico</v>
      </c>
      <c r="AJ47" s="109">
        <f>IF(AC47="","",IF(S47=1,IF(AC47="Impacto",Q47-(Q47*AF47),Q47),IF(AC47="Impacto",AJ46-(AJ46*AF47),AJ46)))</f>
        <v>1</v>
      </c>
      <c r="AK47" s="144" t="str">
        <f ca="1">_xlfn.IFERROR(INDIRECT("datos!"&amp;HLOOKUP(AI47,calculo_imp,2,FALSE)&amp;VLOOKUP(AG47,calculo_prob,2,FALSE)),"")</f>
        <v>Extremo</v>
      </c>
      <c r="AL47" s="97" t="s">
        <v>92</v>
      </c>
      <c r="AM47" s="279"/>
      <c r="AN47" s="280"/>
      <c r="AO47" s="280"/>
      <c r="AP47" s="241"/>
      <c r="AQ47" s="279"/>
      <c r="AR47" s="241"/>
    </row>
    <row r="48" spans="1:44" ht="84" customHeight="1" thickBot="1">
      <c r="A48" s="238">
        <v>28</v>
      </c>
      <c r="B48" s="240" t="s">
        <v>44</v>
      </c>
      <c r="C48" s="240" t="s">
        <v>269</v>
      </c>
      <c r="D48" s="274" t="str">
        <f>_xlfn.IFERROR(VLOOKUP(B48,datos!$B$1:$C$21,2,0),"")</f>
        <v>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v>
      </c>
      <c r="E48" s="240" t="s">
        <v>55</v>
      </c>
      <c r="F48" s="240" t="s">
        <v>716</v>
      </c>
      <c r="G48" s="240" t="s">
        <v>717</v>
      </c>
      <c r="H48" s="240" t="s">
        <v>251</v>
      </c>
      <c r="I48" s="240" t="s">
        <v>718</v>
      </c>
      <c r="J48" s="240" t="s">
        <v>719</v>
      </c>
      <c r="K48" s="240" t="s">
        <v>197</v>
      </c>
      <c r="L48" s="240" t="s">
        <v>210</v>
      </c>
      <c r="M48" s="240">
        <v>24</v>
      </c>
      <c r="N48" s="252" t="str">
        <f>_xlfn.IFERROR(VLOOKUP(O48,datos!$AC$2:$AE$7,3,0),"")</f>
        <v>Baja</v>
      </c>
      <c r="O48" s="254">
        <f>+IF(OR(M48="",M48=0),"",IF(M48&lt;=datos!$AD$3,datos!$AC$3,IF(AND(M48&gt;datos!$AD$3,M48&lt;=datos!$AD$4),datos!$AC$4,IF(AND(M48&gt;datos!$AD$4,M48&lt;=datos!$AD$5),datos!$AC$5,IF(AND(M48&gt;datos!$AD$5,M48&lt;=datos!$AD$6),datos!$AC$6,IF(M48&gt;datos!$AD$7,datos!$AC$7,0))))))</f>
        <v>0.4</v>
      </c>
      <c r="P48" s="256" t="str">
        <f>+HLOOKUP(A48,'Impacto Riesgo de Corrupción'!$D$5:$AS$26,22,0)</f>
        <v>Mayor</v>
      </c>
      <c r="Q48" s="254">
        <f>+IF(P48="","",VLOOKUP(P48,datos!$AC$12:$AD$15,2,0))</f>
        <v>0.8</v>
      </c>
      <c r="R48" s="258" t="str">
        <f ca="1">_xlfn.IFERROR(INDIRECT("datos!"&amp;HLOOKUP(P48,calculo_imp,2,FALSE)&amp;VLOOKUP(N48,calculo_prob,2,FALSE)),"")</f>
        <v>Alto</v>
      </c>
      <c r="S48" s="207">
        <v>1</v>
      </c>
      <c r="T48" s="136" t="s">
        <v>720</v>
      </c>
      <c r="U48" s="85" t="s">
        <v>721</v>
      </c>
      <c r="V48" s="85" t="s">
        <v>722</v>
      </c>
      <c r="W48" s="85" t="s">
        <v>723</v>
      </c>
      <c r="X48" s="85" t="s">
        <v>724</v>
      </c>
      <c r="Y48" s="85" t="s">
        <v>725</v>
      </c>
      <c r="Z48" s="85" t="s">
        <v>726</v>
      </c>
      <c r="AA48" s="85" t="s">
        <v>727</v>
      </c>
      <c r="AB48" s="85" t="s">
        <v>558</v>
      </c>
      <c r="AC48" s="138" t="str">
        <f>IF(AD48="","",VLOOKUP(AD48,datos!$AT$6:$AU$9,2,0))</f>
        <v>Probabilidad</v>
      </c>
      <c r="AD48" s="136" t="s">
        <v>80</v>
      </c>
      <c r="AE48" s="136" t="s">
        <v>84</v>
      </c>
      <c r="AF48" s="92">
        <f>IF(AND(AD48="",AE48=""),"",IF(AD48="",0,VLOOKUP(AD48,datos!$AP$3:$AR$7,3,0))+IF(AE48="",0,VLOOKUP(AE48,datos!$AP$3:$AR$7,3,0)))</f>
        <v>0.4</v>
      </c>
      <c r="AG48" s="108" t="str">
        <f>IF(OR(AH48="",AH48=0),"",IF(AH48&lt;=datos!$AC$3,datos!$AE$3,IF(AH48&lt;=datos!$AC$4,datos!$AE$4,IF(AH48&lt;=datos!$AC$5,datos!$AE$5,IF(AH48&lt;=datos!$AC$6,datos!$AE$6,IF(AH48&lt;=datos!$AC$7,datos!$AE$7,""))))))</f>
        <v>Baja</v>
      </c>
      <c r="AH48" s="109">
        <f aca="true" t="shared" si="4" ref="AH48:AH53">IF(AC48="","",IF(S48=1,IF(AC48="Probabilidad",O48-(O48*AF48),O48),IF(AC48="Probabilidad",AH47-(AH47*AF48),AH47)))</f>
        <v>0.24</v>
      </c>
      <c r="AI48" s="144" t="str">
        <f>+IF(AJ48&lt;=datos!$AD$11,datos!$AC$11,IF(AJ48&lt;=datos!$AD$12,datos!$AC$12,IF(AJ48&lt;=datos!$AD$13,datos!$AC$13,IF(AJ48&lt;=datos!$AD$14,datos!$AC$14,IF(AJ48&lt;=datos!$AD$15,datos!$AC$15,"")))))</f>
        <v>Mayor</v>
      </c>
      <c r="AJ48" s="109">
        <f aca="true" t="shared" si="5" ref="AJ48:AJ53">IF(AC48="","",IF(S48=1,IF(AC48="Impacto",Q48-(Q48*AF48),Q48),IF(AC48="Impacto",AJ47-(AJ47*AF48),AJ47)))</f>
        <v>0.8</v>
      </c>
      <c r="AK48" s="144" t="str">
        <f aca="true" ca="1" t="shared" si="6" ref="AK48:AK53">_xlfn.IFERROR(INDIRECT("datos!"&amp;HLOOKUP(AI48,calculo_imp,2,FALSE)&amp;VLOOKUP(AG48,calculo_prob,2,FALSE)),"")</f>
        <v>Alto</v>
      </c>
      <c r="AL48" s="95" t="s">
        <v>92</v>
      </c>
      <c r="AM48" s="136" t="s">
        <v>492</v>
      </c>
      <c r="AN48" s="86" t="s">
        <v>492</v>
      </c>
      <c r="AO48" s="86" t="s">
        <v>492</v>
      </c>
      <c r="AP48" s="86" t="s">
        <v>492</v>
      </c>
      <c r="AQ48" s="240" t="s">
        <v>728</v>
      </c>
      <c r="AR48" s="248">
        <v>0</v>
      </c>
    </row>
    <row r="49" spans="1:44" ht="84" customHeight="1" thickBot="1">
      <c r="A49" s="239"/>
      <c r="B49" s="241"/>
      <c r="C49" s="241"/>
      <c r="D49" s="275"/>
      <c r="E49" s="241"/>
      <c r="F49" s="241"/>
      <c r="G49" s="241"/>
      <c r="H49" s="241"/>
      <c r="I49" s="241"/>
      <c r="J49" s="241"/>
      <c r="K49" s="241"/>
      <c r="L49" s="241"/>
      <c r="M49" s="241"/>
      <c r="N49" s="253"/>
      <c r="O49" s="255"/>
      <c r="P49" s="257"/>
      <c r="Q49" s="255" t="e">
        <f>IF(OR(#REF!=datos!$AB$10,#REF!=datos!$AB$16),"",VLOOKUP(#REF!,datos!$AA$10:$AC$21,3,0))</f>
        <v>#REF!</v>
      </c>
      <c r="R49" s="259"/>
      <c r="S49" s="208">
        <v>2</v>
      </c>
      <c r="T49" s="135" t="s">
        <v>729</v>
      </c>
      <c r="U49" s="83" t="s">
        <v>730</v>
      </c>
      <c r="V49" s="83" t="s">
        <v>731</v>
      </c>
      <c r="W49" s="83" t="s">
        <v>732</v>
      </c>
      <c r="X49" s="83" t="s">
        <v>733</v>
      </c>
      <c r="Y49" s="83" t="s">
        <v>734</v>
      </c>
      <c r="Z49" s="83" t="s">
        <v>735</v>
      </c>
      <c r="AA49" s="83" t="s">
        <v>727</v>
      </c>
      <c r="AB49" s="83" t="s">
        <v>736</v>
      </c>
      <c r="AC49" s="138" t="str">
        <f>IF(AD49="","",VLOOKUP(AD49,datos!$AT$6:$AU$9,2,0))</f>
        <v>Probabilidad</v>
      </c>
      <c r="AD49" s="135" t="s">
        <v>80</v>
      </c>
      <c r="AE49" s="135" t="s">
        <v>84</v>
      </c>
      <c r="AF49" s="92">
        <f>IF(AND(AD49="",AE49=""),"",IF(AD49="",0,VLOOKUP(AD49,datos!$AP$3:$AR$7,3,0))+IF(AE49="",0,VLOOKUP(AE49,datos!$AP$3:$AR$7,3,0)))</f>
        <v>0.4</v>
      </c>
      <c r="AG49" s="108" t="str">
        <f>IF(OR(AH49="",AH49=0),"",IF(AH49&lt;=datos!$AC$3,datos!$AE$3,IF(AH49&lt;=datos!$AC$4,datos!$AE$4,IF(AH49&lt;=datos!$AC$5,datos!$AE$5,IF(AH49&lt;=datos!$AC$6,datos!$AE$6,IF(AH49&lt;=datos!$AC$7,datos!$AE$7,""))))))</f>
        <v>Muy Baja</v>
      </c>
      <c r="AH49" s="109">
        <f t="shared" si="4"/>
        <v>0.144</v>
      </c>
      <c r="AI49" s="144" t="str">
        <f>+IF(AJ49&lt;=datos!$AD$11,datos!$AC$11,IF(AJ49&lt;=datos!$AD$12,datos!$AC$12,IF(AJ49&lt;=datos!$AD$13,datos!$AC$13,IF(AJ49&lt;=datos!$AD$14,datos!$AC$14,IF(AJ49&lt;=datos!$AD$15,datos!$AC$15,"")))))</f>
        <v>Mayor</v>
      </c>
      <c r="AJ49" s="109">
        <f t="shared" si="5"/>
        <v>0.8</v>
      </c>
      <c r="AK49" s="144" t="str">
        <f ca="1" t="shared" si="6"/>
        <v>Alto</v>
      </c>
      <c r="AL49" s="97" t="s">
        <v>92</v>
      </c>
      <c r="AM49" s="135" t="s">
        <v>492</v>
      </c>
      <c r="AN49" s="84" t="s">
        <v>492</v>
      </c>
      <c r="AO49" s="84" t="s">
        <v>492</v>
      </c>
      <c r="AP49" s="135" t="s">
        <v>492</v>
      </c>
      <c r="AQ49" s="241"/>
      <c r="AR49" s="249"/>
    </row>
    <row r="50" spans="1:44" ht="84.75" thickBot="1">
      <c r="A50" s="239"/>
      <c r="B50" s="241"/>
      <c r="C50" s="241"/>
      <c r="D50" s="275"/>
      <c r="E50" s="241"/>
      <c r="F50" s="241"/>
      <c r="G50" s="241"/>
      <c r="H50" s="241"/>
      <c r="I50" s="241"/>
      <c r="J50" s="241"/>
      <c r="K50" s="241"/>
      <c r="L50" s="241"/>
      <c r="M50" s="241"/>
      <c r="N50" s="253"/>
      <c r="O50" s="255"/>
      <c r="P50" s="257"/>
      <c r="Q50" s="255" t="e">
        <f>IF(OR(#REF!=datos!$AB$10,#REF!=datos!$AB$16),"",VLOOKUP(#REF!,datos!$AA$10:$AC$21,3,0))</f>
        <v>#REF!</v>
      </c>
      <c r="R50" s="259"/>
      <c r="S50" s="208">
        <v>3</v>
      </c>
      <c r="T50" s="135" t="s">
        <v>737</v>
      </c>
      <c r="U50" s="83" t="s">
        <v>738</v>
      </c>
      <c r="V50" s="83" t="s">
        <v>739</v>
      </c>
      <c r="W50" s="83" t="s">
        <v>740</v>
      </c>
      <c r="X50" s="83" t="s">
        <v>741</v>
      </c>
      <c r="Y50" s="83" t="s">
        <v>742</v>
      </c>
      <c r="Z50" s="83" t="s">
        <v>743</v>
      </c>
      <c r="AA50" s="83" t="s">
        <v>744</v>
      </c>
      <c r="AB50" s="83" t="s">
        <v>558</v>
      </c>
      <c r="AC50" s="138" t="str">
        <f>IF(AD50="","",VLOOKUP(AD50,datos!$AT$6:$AU$9,2,0))</f>
        <v>Probabilidad</v>
      </c>
      <c r="AD50" s="135" t="s">
        <v>80</v>
      </c>
      <c r="AE50" s="135" t="s">
        <v>84</v>
      </c>
      <c r="AF50" s="92">
        <f>IF(AND(AD50="",AE50=""),"",IF(AD50="",0,VLOOKUP(AD50,datos!$AP$3:$AR$7,3,0))+IF(AE50="",0,VLOOKUP(AE50,datos!$AP$3:$AR$7,3,0)))</f>
        <v>0.4</v>
      </c>
      <c r="AG50" s="108" t="str">
        <f>IF(OR(AH50="",AH50=0),"",IF(AH50&lt;=datos!$AC$3,datos!$AE$3,IF(AH50&lt;=datos!$AC$4,datos!$AE$4,IF(AH50&lt;=datos!$AC$5,datos!$AE$5,IF(AH50&lt;=datos!$AC$6,datos!$AE$6,IF(AH50&lt;=datos!$AC$7,datos!$AE$7,""))))))</f>
        <v>Muy Baja</v>
      </c>
      <c r="AH50" s="109">
        <f t="shared" si="4"/>
        <v>0.08639999999999999</v>
      </c>
      <c r="AI50" s="144" t="str">
        <f>+IF(AJ50&lt;=datos!$AD$11,datos!$AC$11,IF(AJ50&lt;=datos!$AD$12,datos!$AC$12,IF(AJ50&lt;=datos!$AD$13,datos!$AC$13,IF(AJ50&lt;=datos!$AD$14,datos!$AC$14,IF(AJ50&lt;=datos!$AD$15,datos!$AC$15,"")))))</f>
        <v>Mayor</v>
      </c>
      <c r="AJ50" s="109">
        <f t="shared" si="5"/>
        <v>0.8</v>
      </c>
      <c r="AK50" s="144" t="str">
        <f ca="1" t="shared" si="6"/>
        <v>Alto</v>
      </c>
      <c r="AL50" s="97" t="s">
        <v>92</v>
      </c>
      <c r="AM50" s="135" t="s">
        <v>492</v>
      </c>
      <c r="AN50" s="84" t="s">
        <v>492</v>
      </c>
      <c r="AO50" s="84" t="s">
        <v>492</v>
      </c>
      <c r="AP50" s="135" t="s">
        <v>492</v>
      </c>
      <c r="AQ50" s="241"/>
      <c r="AR50" s="249"/>
    </row>
    <row r="51" spans="1:44" ht="228.75" thickBot="1">
      <c r="A51" s="232">
        <v>29</v>
      </c>
      <c r="B51" s="135" t="s">
        <v>44</v>
      </c>
      <c r="C51" s="135" t="s">
        <v>269</v>
      </c>
      <c r="D51" s="138" t="str">
        <f>_xlfn.IFERROR(VLOOKUP(B51,datos!$B$1:$C$21,2,0),"")</f>
        <v>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v>
      </c>
      <c r="E51" s="135" t="s">
        <v>55</v>
      </c>
      <c r="F51" s="135" t="s">
        <v>745</v>
      </c>
      <c r="G51" s="135" t="s">
        <v>746</v>
      </c>
      <c r="H51" s="135" t="s">
        <v>251</v>
      </c>
      <c r="I51" s="135" t="s">
        <v>718</v>
      </c>
      <c r="J51" s="135" t="s">
        <v>747</v>
      </c>
      <c r="K51" s="135" t="s">
        <v>197</v>
      </c>
      <c r="L51" s="135" t="s">
        <v>210</v>
      </c>
      <c r="M51" s="135">
        <v>24</v>
      </c>
      <c r="N51" s="143" t="str">
        <f>_xlfn.IFERROR(VLOOKUP(O51,datos!$AC$2:$AE$7,3,0),"")</f>
        <v>Baja</v>
      </c>
      <c r="O51" s="131">
        <f>+IF(OR(M51="",M51=0),"",IF(M51&lt;=datos!$AD$3,datos!$AC$3,IF(AND(M51&gt;datos!$AD$3,M51&lt;=datos!$AD$4),datos!$AC$4,IF(AND(M51&gt;datos!$AD$4,M51&lt;=datos!$AD$5),datos!$AC$5,IF(AND(M51&gt;datos!$AD$5,M51&lt;=datos!$AD$6),datos!$AC$6,IF(M51&gt;datos!$AD$7,datos!$AC$7,0))))))</f>
        <v>0.4</v>
      </c>
      <c r="P51" s="145" t="str">
        <f>+HLOOKUP(A51,'Impacto Riesgo de Corrupción'!$D$5:$AS$26,22,0)</f>
        <v>Mayor</v>
      </c>
      <c r="Q51" s="131">
        <f>+IF(P51="","",VLOOKUP(P51,datos!$AC$12:$AD$15,2,0))</f>
        <v>0.8</v>
      </c>
      <c r="R51" s="142" t="str">
        <f ca="1">_xlfn.IFERROR(INDIRECT("datos!"&amp;HLOOKUP(P51,calculo_imp,2,FALSE)&amp;VLOOKUP(N51,calculo_prob,2,FALSE)),"")</f>
        <v>Alto</v>
      </c>
      <c r="S51" s="208">
        <v>1</v>
      </c>
      <c r="T51" s="135" t="s">
        <v>720</v>
      </c>
      <c r="U51" s="83" t="s">
        <v>721</v>
      </c>
      <c r="V51" s="83" t="s">
        <v>722</v>
      </c>
      <c r="W51" s="83" t="s">
        <v>723</v>
      </c>
      <c r="X51" s="83" t="s">
        <v>724</v>
      </c>
      <c r="Y51" s="83" t="s">
        <v>725</v>
      </c>
      <c r="Z51" s="83" t="s">
        <v>726</v>
      </c>
      <c r="AA51" s="83" t="s">
        <v>727</v>
      </c>
      <c r="AB51" s="83" t="s">
        <v>558</v>
      </c>
      <c r="AC51" s="138" t="str">
        <f>IF(AD51="","",VLOOKUP(AD51,datos!$AT$6:$AU$9,2,0))</f>
        <v>Probabilidad</v>
      </c>
      <c r="AD51" s="135" t="s">
        <v>80</v>
      </c>
      <c r="AE51" s="135" t="s">
        <v>84</v>
      </c>
      <c r="AF51" s="92">
        <f>IF(AND(AD51="",AE51=""),"",IF(AD51="",0,VLOOKUP(AD51,datos!$AP$3:$AR$7,3,0))+IF(AE51="",0,VLOOKUP(AE51,datos!$AP$3:$AR$7,3,0)))</f>
        <v>0.4</v>
      </c>
      <c r="AG51" s="108" t="str">
        <f>IF(OR(AH51="",AH51=0),"",IF(AH51&lt;=datos!$AC$3,datos!$AE$3,IF(AH51&lt;=datos!$AC$4,datos!$AE$4,IF(AH51&lt;=datos!$AC$5,datos!$AE$5,IF(AH51&lt;=datos!$AC$6,datos!$AE$6,IF(AH51&lt;=datos!$AC$7,datos!$AE$7,""))))))</f>
        <v>Baja</v>
      </c>
      <c r="AH51" s="109">
        <f t="shared" si="4"/>
        <v>0.24</v>
      </c>
      <c r="AI51" s="144" t="str">
        <f>+IF(AJ51&lt;=datos!$AD$11,datos!$AC$11,IF(AJ51&lt;=datos!$AD$12,datos!$AC$12,IF(AJ51&lt;=datos!$AD$13,datos!$AC$13,IF(AJ51&lt;=datos!$AD$14,datos!$AC$14,IF(AJ51&lt;=datos!$AD$15,datos!$AC$15,"")))))</f>
        <v>Mayor</v>
      </c>
      <c r="AJ51" s="109">
        <f t="shared" si="5"/>
        <v>0.8</v>
      </c>
      <c r="AK51" s="144" t="str">
        <f ca="1" t="shared" si="6"/>
        <v>Alto</v>
      </c>
      <c r="AL51" s="97" t="s">
        <v>92</v>
      </c>
      <c r="AM51" s="135" t="s">
        <v>492</v>
      </c>
      <c r="AN51" s="84" t="s">
        <v>492</v>
      </c>
      <c r="AO51" s="84" t="s">
        <v>492</v>
      </c>
      <c r="AP51" s="135" t="s">
        <v>492</v>
      </c>
      <c r="AQ51" s="135" t="s">
        <v>728</v>
      </c>
      <c r="AR51" s="132">
        <v>0</v>
      </c>
    </row>
    <row r="52" spans="1:44" ht="312" customHeight="1" thickBot="1">
      <c r="A52" s="239">
        <v>30</v>
      </c>
      <c r="B52" s="241" t="s">
        <v>44</v>
      </c>
      <c r="C52" s="241" t="s">
        <v>748</v>
      </c>
      <c r="D52" s="274" t="str">
        <f>_xlfn.IFERROR(VLOOKUP(B52,datos!$B$1:$C$21,2,0),"")</f>
        <v>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v>
      </c>
      <c r="E52" s="241" t="s">
        <v>55</v>
      </c>
      <c r="F52" s="241" t="s">
        <v>749</v>
      </c>
      <c r="G52" s="241" t="s">
        <v>750</v>
      </c>
      <c r="H52" s="241" t="s">
        <v>252</v>
      </c>
      <c r="I52" s="241" t="s">
        <v>492</v>
      </c>
      <c r="J52" s="276" t="s">
        <v>751</v>
      </c>
      <c r="K52" s="241" t="s">
        <v>197</v>
      </c>
      <c r="L52" s="241" t="s">
        <v>59</v>
      </c>
      <c r="M52" s="241">
        <v>100</v>
      </c>
      <c r="N52" s="252" t="str">
        <f>_xlfn.IFERROR(VLOOKUP(O52,datos!$AC$2:$AE$7,3,0),"")</f>
        <v>Media</v>
      </c>
      <c r="O52" s="254">
        <f>+IF(OR(M52="",M52=0),"",IF(M52&lt;=datos!$AD$3,datos!$AC$3,IF(AND(M52&gt;datos!$AD$3,M52&lt;=datos!$AD$4),datos!$AC$4,IF(AND(M52&gt;datos!$AD$4,M52&lt;=datos!$AD$5),datos!$AC$5,IF(AND(M52&gt;datos!$AD$5,M52&lt;=datos!$AD$6),datos!$AC$6,IF(M52&gt;datos!$AD$7,datos!$AC$7,0))))))</f>
        <v>0.6</v>
      </c>
      <c r="P52" s="256" t="str">
        <f>+HLOOKUP(A52,'Impacto Riesgo de Corrupción'!$D$5:$AS$26,22,0)</f>
        <v>Mayor</v>
      </c>
      <c r="Q52" s="254">
        <f>+IF(P52="","",VLOOKUP(P52,datos!$AC$12:$AD$15,2,0))</f>
        <v>0.8</v>
      </c>
      <c r="R52" s="258" t="str">
        <f ca="1">_xlfn.IFERROR(INDIRECT("datos!"&amp;HLOOKUP(P52,calculo_imp,2,FALSE)&amp;VLOOKUP(N52,calculo_prob,2,FALSE)),"")</f>
        <v>Alto</v>
      </c>
      <c r="S52" s="208">
        <v>1</v>
      </c>
      <c r="T52" s="159" t="s">
        <v>752</v>
      </c>
      <c r="U52" s="159" t="s">
        <v>753</v>
      </c>
      <c r="V52" s="83" t="s">
        <v>754</v>
      </c>
      <c r="W52" s="159" t="s">
        <v>755</v>
      </c>
      <c r="X52" s="159" t="s">
        <v>756</v>
      </c>
      <c r="Y52" s="83" t="s">
        <v>757</v>
      </c>
      <c r="Z52" s="83" t="s">
        <v>758</v>
      </c>
      <c r="AA52" s="83" t="s">
        <v>759</v>
      </c>
      <c r="AB52" s="83" t="s">
        <v>760</v>
      </c>
      <c r="AC52" s="138" t="str">
        <f>IF(AD52="","",VLOOKUP(AD52,datos!$AT$6:$AU$9,2,0))</f>
        <v>Probabilidad</v>
      </c>
      <c r="AD52" s="135" t="s">
        <v>80</v>
      </c>
      <c r="AE52" s="135" t="s">
        <v>84</v>
      </c>
      <c r="AF52" s="92">
        <f>IF(AND(AD52="",AE52=""),"",IF(AD52="",0,VLOOKUP(AD52,datos!$AP$3:$AR$7,3,0))+IF(AE52="",0,VLOOKUP(AE52,datos!$AP$3:$AR$7,3,0)))</f>
        <v>0.4</v>
      </c>
      <c r="AG52" s="108" t="str">
        <f>IF(OR(AH52="",AH52=0),"",IF(AH52&lt;=datos!$AC$3,datos!$AE$3,IF(AH52&lt;=datos!$AC$4,datos!$AE$4,IF(AH52&lt;=datos!$AC$5,datos!$AE$5,IF(AH52&lt;=datos!$AC$6,datos!$AE$6,IF(AH52&lt;=datos!$AC$7,datos!$AE$7,""))))))</f>
        <v>Baja</v>
      </c>
      <c r="AH52" s="109">
        <f t="shared" si="4"/>
        <v>0.36</v>
      </c>
      <c r="AI52" s="144" t="str">
        <f>+IF(AJ52&lt;=datos!$AD$11,datos!$AC$11,IF(AJ52&lt;=datos!$AD$12,datos!$AC$12,IF(AJ52&lt;=datos!$AD$13,datos!$AC$13,IF(AJ52&lt;=datos!$AD$14,datos!$AC$14,IF(AJ52&lt;=datos!$AD$15,datos!$AC$15,"")))))</f>
        <v>Mayor</v>
      </c>
      <c r="AJ52" s="109">
        <f t="shared" si="5"/>
        <v>0.8</v>
      </c>
      <c r="AK52" s="144" t="str">
        <f ca="1" t="shared" si="6"/>
        <v>Alto</v>
      </c>
      <c r="AL52" s="97" t="s">
        <v>92</v>
      </c>
      <c r="AM52" s="135" t="s">
        <v>492</v>
      </c>
      <c r="AN52" s="84" t="s">
        <v>492</v>
      </c>
      <c r="AO52" s="84" t="s">
        <v>492</v>
      </c>
      <c r="AP52" s="135" t="s">
        <v>492</v>
      </c>
      <c r="AQ52" s="241" t="s">
        <v>761</v>
      </c>
      <c r="AR52" s="249">
        <v>0</v>
      </c>
    </row>
    <row r="53" spans="1:44" ht="312.75" customHeight="1" thickBot="1">
      <c r="A53" s="272"/>
      <c r="B53" s="273"/>
      <c r="C53" s="273"/>
      <c r="D53" s="275"/>
      <c r="E53" s="273"/>
      <c r="F53" s="273"/>
      <c r="G53" s="273"/>
      <c r="H53" s="273"/>
      <c r="I53" s="273"/>
      <c r="J53" s="277"/>
      <c r="K53" s="273"/>
      <c r="L53" s="273"/>
      <c r="M53" s="273"/>
      <c r="N53" s="253"/>
      <c r="O53" s="255"/>
      <c r="P53" s="257"/>
      <c r="Q53" s="255" t="e">
        <f>IF(OR(#REF!=datos!$AB$10,#REF!=datos!$AB$16),"",VLOOKUP(#REF!,datos!$AA$10:$AC$21,3,0))</f>
        <v>#REF!</v>
      </c>
      <c r="R53" s="259"/>
      <c r="S53" s="209">
        <v>2</v>
      </c>
      <c r="T53" s="87" t="s">
        <v>762</v>
      </c>
      <c r="U53" s="165" t="s">
        <v>753</v>
      </c>
      <c r="V53" s="87" t="s">
        <v>754</v>
      </c>
      <c r="W53" s="87" t="s">
        <v>763</v>
      </c>
      <c r="X53" s="87" t="s">
        <v>764</v>
      </c>
      <c r="Y53" s="87" t="s">
        <v>757</v>
      </c>
      <c r="Z53" s="87" t="s">
        <v>758</v>
      </c>
      <c r="AA53" s="87" t="s">
        <v>759</v>
      </c>
      <c r="AB53" s="87" t="s">
        <v>760</v>
      </c>
      <c r="AC53" s="138" t="str">
        <f>IF(AD53="","",VLOOKUP(AD53,datos!$AT$6:$AU$9,2,0))</f>
        <v>Probabilidad</v>
      </c>
      <c r="AD53" s="137" t="s">
        <v>80</v>
      </c>
      <c r="AE53" s="137" t="s">
        <v>84</v>
      </c>
      <c r="AF53" s="92">
        <f>IF(AND(AD53="",AE53=""),"",IF(AD53="",0,VLOOKUP(AD53,datos!$AP$3:$AR$7,3,0))+IF(AE53="",0,VLOOKUP(AE53,datos!$AP$3:$AR$7,3,0)))</f>
        <v>0.4</v>
      </c>
      <c r="AG53" s="108" t="str">
        <f>IF(OR(AH53="",AH53=0),"",IF(AH53&lt;=datos!$AC$3,datos!$AE$3,IF(AH53&lt;=datos!$AC$4,datos!$AE$4,IF(AH53&lt;=datos!$AC$5,datos!$AE$5,IF(AH53&lt;=datos!$AC$6,datos!$AE$6,IF(AH53&lt;=datos!$AC$7,datos!$AE$7,""))))))</f>
        <v>Baja</v>
      </c>
      <c r="AH53" s="109">
        <f t="shared" si="4"/>
        <v>0.216</v>
      </c>
      <c r="AI53" s="144" t="str">
        <f>+IF(AJ53&lt;=datos!$AD$11,datos!$AC$11,IF(AJ53&lt;=datos!$AD$12,datos!$AC$12,IF(AJ53&lt;=datos!$AD$13,datos!$AC$13,IF(AJ53&lt;=datos!$AD$14,datos!$AC$14,IF(AJ53&lt;=datos!$AD$15,datos!$AC$15,"")))))</f>
        <v>Mayor</v>
      </c>
      <c r="AJ53" s="109">
        <f t="shared" si="5"/>
        <v>0.8</v>
      </c>
      <c r="AK53" s="144" t="str">
        <f ca="1" t="shared" si="6"/>
        <v>Alto</v>
      </c>
      <c r="AL53" s="98" t="s">
        <v>92</v>
      </c>
      <c r="AM53" s="137" t="s">
        <v>492</v>
      </c>
      <c r="AN53" s="88" t="s">
        <v>492</v>
      </c>
      <c r="AO53" s="88" t="s">
        <v>492</v>
      </c>
      <c r="AP53" s="137" t="s">
        <v>492</v>
      </c>
      <c r="AQ53" s="273"/>
      <c r="AR53" s="278"/>
    </row>
    <row r="54" spans="1:44" ht="96.75" thickBot="1">
      <c r="A54" s="266">
        <v>31</v>
      </c>
      <c r="B54" s="260" t="s">
        <v>37</v>
      </c>
      <c r="C54" s="260" t="s">
        <v>765</v>
      </c>
      <c r="D54" s="268" t="s">
        <v>134</v>
      </c>
      <c r="E54" s="260" t="s">
        <v>55</v>
      </c>
      <c r="F54" s="270" t="s">
        <v>766</v>
      </c>
      <c r="G54" s="270" t="s">
        <v>767</v>
      </c>
      <c r="H54" s="270" t="s">
        <v>252</v>
      </c>
      <c r="I54" s="270" t="s">
        <v>492</v>
      </c>
      <c r="J54" s="262" t="s">
        <v>768</v>
      </c>
      <c r="K54" s="260" t="s">
        <v>197</v>
      </c>
      <c r="L54" s="260" t="s">
        <v>57</v>
      </c>
      <c r="M54" s="264">
        <v>59</v>
      </c>
      <c r="N54" s="252" t="str">
        <f>_xlfn.IFERROR(VLOOKUP(O54,datos!$AC$2:$AE$7,3,0),"")</f>
        <v>Media</v>
      </c>
      <c r="O54" s="254">
        <f>+IF(OR(M54="",M54=0),"",IF(M54&lt;=datos!$AD$3,datos!$AC$3,IF(AND(M54&gt;datos!$AD$3,M54&lt;=datos!$AD$4),datos!$AC$4,IF(AND(M54&gt;datos!$AD$4,M54&lt;=datos!$AD$5),datos!$AC$5,IF(AND(M54&gt;datos!$AD$5,M54&lt;=datos!$AD$6),datos!$AC$6,IF(M54&gt;datos!$AD$7,datos!$AC$7,0))))))</f>
        <v>0.6</v>
      </c>
      <c r="P54" s="256" t="str">
        <f>+HLOOKUP(A54,'Impacto Riesgo de Corrupción'!$D$5:$AS$26,22,0)</f>
        <v>Mayor</v>
      </c>
      <c r="Q54" s="254">
        <f>+IF(P54="","",VLOOKUP(P54,datos!$AC$12:$AD$15,2,0))</f>
        <v>0.8</v>
      </c>
      <c r="R54" s="258" t="str">
        <f ca="1">_xlfn.IFERROR(INDIRECT("datos!"&amp;HLOOKUP(P54,calculo_imp,2,FALSE)&amp;VLOOKUP(N54,calculo_prob,2,FALSE)),"")</f>
        <v>Alto</v>
      </c>
      <c r="S54" s="208">
        <v>1</v>
      </c>
      <c r="T54" s="135" t="s">
        <v>769</v>
      </c>
      <c r="U54" s="83" t="s">
        <v>770</v>
      </c>
      <c r="V54" s="83" t="s">
        <v>771</v>
      </c>
      <c r="W54" s="210" t="s">
        <v>772</v>
      </c>
      <c r="X54" s="83" t="s">
        <v>773</v>
      </c>
      <c r="Y54" s="83" t="s">
        <v>774</v>
      </c>
      <c r="Z54" s="83" t="s">
        <v>775</v>
      </c>
      <c r="AA54" s="83" t="s">
        <v>776</v>
      </c>
      <c r="AB54" s="83" t="s">
        <v>760</v>
      </c>
      <c r="AC54" s="138" t="str">
        <f>IF(AD54="","",VLOOKUP(AD54,datos!$AT$6:$AU$9,2,0))</f>
        <v>Probabilidad</v>
      </c>
      <c r="AD54" s="135" t="s">
        <v>81</v>
      </c>
      <c r="AE54" s="135" t="s">
        <v>84</v>
      </c>
      <c r="AF54" s="92">
        <f>IF(AND(AD54="",AE54=""),"",IF(AD54="",0,VLOOKUP(AD54,datos!$AP$3:$AR$7,3,0))+IF(AE54="",0,VLOOKUP(AE54,datos!$AP$3:$AR$7,3,0)))</f>
        <v>0.3</v>
      </c>
      <c r="AG54" s="108" t="str">
        <f>IF(OR(AH54="",AH54=0),"",IF(AH54&lt;=datos!$AC$3,datos!$AE$3,IF(AH54&lt;=datos!$AC$4,datos!$AE$4,IF(AH54&lt;=datos!$AC$5,datos!$AE$5,IF(AH54&lt;=datos!$AC$6,datos!$AE$6,IF(AH54&lt;=datos!$AC$7,datos!$AE$7,""))))))</f>
        <v>Media</v>
      </c>
      <c r="AH54" s="109">
        <f aca="true" t="shared" si="7" ref="AH54:AH60">IF(AC54="","",IF(S54=1,IF(AC54="Probabilidad",O54-(O54*AF54),O54),IF(AC54="Probabilidad",AH53-(AH53*AF54),AH53)))</f>
        <v>0.42</v>
      </c>
      <c r="AI54" s="144" t="str">
        <f>+IF(AJ54&lt;=datos!$AD$11,datos!$AC$11,IF(AJ54&lt;=datos!$AD$12,datos!$AC$12,IF(AJ54&lt;=datos!$AD$13,datos!$AC$13,IF(AJ54&lt;=datos!$AD$14,datos!$AC$14,IF(AJ54&lt;=datos!$AD$15,datos!$AC$15,"")))))</f>
        <v>Mayor</v>
      </c>
      <c r="AJ54" s="109">
        <f aca="true" t="shared" si="8" ref="AJ54:AJ60">IF(AC54="","",IF(S54=1,IF(AC54="Impacto",Q54-(Q54*AF54),Q54),IF(AC54="Impacto",AJ53-(AJ53*AF54),AJ53)))</f>
        <v>0.8</v>
      </c>
      <c r="AK54" s="144" t="str">
        <f aca="true" ca="1" t="shared" si="9" ref="AK54:AK60">_xlfn.IFERROR(INDIRECT("datos!"&amp;HLOOKUP(AI54,calculo_imp,2,FALSE)&amp;VLOOKUP(AG54,calculo_prob,2,FALSE)),"")</f>
        <v>Alto</v>
      </c>
      <c r="AL54" s="97"/>
      <c r="AM54" s="135"/>
      <c r="AN54" s="84"/>
      <c r="AO54" s="84"/>
      <c r="AP54" s="135"/>
      <c r="AQ54" s="181" t="s">
        <v>777</v>
      </c>
      <c r="AR54" s="260">
        <v>0</v>
      </c>
    </row>
    <row r="55" spans="1:44" ht="72.75" thickBot="1">
      <c r="A55" s="267"/>
      <c r="B55" s="261"/>
      <c r="C55" s="261"/>
      <c r="D55" s="269"/>
      <c r="E55" s="261"/>
      <c r="F55" s="271"/>
      <c r="G55" s="271"/>
      <c r="H55" s="271"/>
      <c r="I55" s="271"/>
      <c r="J55" s="263"/>
      <c r="K55" s="261"/>
      <c r="L55" s="261"/>
      <c r="M55" s="265"/>
      <c r="N55" s="253"/>
      <c r="O55" s="255"/>
      <c r="P55" s="257"/>
      <c r="Q55" s="255" t="e">
        <f>IF(OR(#REF!=datos!$AB$10,#REF!=datos!$AB$16),"",VLOOKUP(#REF!,datos!$AA$10:$AC$21,3,0))</f>
        <v>#REF!</v>
      </c>
      <c r="R55" s="259"/>
      <c r="S55" s="208">
        <v>2</v>
      </c>
      <c r="T55" s="135" t="s">
        <v>778</v>
      </c>
      <c r="U55" s="83" t="s">
        <v>779</v>
      </c>
      <c r="V55" s="83" t="s">
        <v>780</v>
      </c>
      <c r="W55" s="210" t="s">
        <v>781</v>
      </c>
      <c r="X55" s="83" t="s">
        <v>782</v>
      </c>
      <c r="Y55" s="83" t="s">
        <v>783</v>
      </c>
      <c r="Z55" s="83" t="s">
        <v>784</v>
      </c>
      <c r="AA55" s="83" t="s">
        <v>785</v>
      </c>
      <c r="AB55" s="83" t="s">
        <v>760</v>
      </c>
      <c r="AC55" s="138" t="str">
        <f>IF(AD55="","",VLOOKUP(AD55,datos!$AT$6:$AU$9,2,0))</f>
        <v>Probabilidad</v>
      </c>
      <c r="AD55" s="135" t="s">
        <v>81</v>
      </c>
      <c r="AE55" s="135" t="s">
        <v>84</v>
      </c>
      <c r="AF55" s="92">
        <f>IF(AND(AD55="",AE55=""),"",IF(AD55="",0,VLOOKUP(AD55,datos!$AP$3:$AR$7,3,0))+IF(AE55="",0,VLOOKUP(AE55,datos!$AP$3:$AR$7,3,0)))</f>
        <v>0.3</v>
      </c>
      <c r="AG55" s="108" t="str">
        <f>IF(OR(AH55="",AH55=0),"",IF(AH55&lt;=datos!$AC$3,datos!$AE$3,IF(AH55&lt;=datos!$AC$4,datos!$AE$4,IF(AH55&lt;=datos!$AC$5,datos!$AE$5,IF(AH55&lt;=datos!$AC$6,datos!$AE$6,IF(AH55&lt;=datos!$AC$7,datos!$AE$7,""))))))</f>
        <v>Baja</v>
      </c>
      <c r="AH55" s="109">
        <f t="shared" si="7"/>
        <v>0.294</v>
      </c>
      <c r="AI55" s="144" t="str">
        <f>+IF(AJ55&lt;=datos!$AD$11,datos!$AC$11,IF(AJ55&lt;=datos!$AD$12,datos!$AC$12,IF(AJ55&lt;=datos!$AD$13,datos!$AC$13,IF(AJ55&lt;=datos!$AD$14,datos!$AC$14,IF(AJ55&lt;=datos!$AD$15,datos!$AC$15,"")))))</f>
        <v>Mayor</v>
      </c>
      <c r="AJ55" s="109">
        <f t="shared" si="8"/>
        <v>0.8</v>
      </c>
      <c r="AK55" s="144" t="str">
        <f ca="1" t="shared" si="9"/>
        <v>Alto</v>
      </c>
      <c r="AL55" s="97"/>
      <c r="AM55" s="135"/>
      <c r="AN55" s="84"/>
      <c r="AO55" s="84"/>
      <c r="AP55" s="135"/>
      <c r="AQ55" s="181" t="s">
        <v>777</v>
      </c>
      <c r="AR55" s="261"/>
    </row>
    <row r="56" spans="1:44" ht="216.75" thickBot="1">
      <c r="A56" s="233">
        <v>32</v>
      </c>
      <c r="B56" s="135" t="s">
        <v>37</v>
      </c>
      <c r="C56" s="211" t="s">
        <v>765</v>
      </c>
      <c r="D56" s="212" t="s">
        <v>134</v>
      </c>
      <c r="E56" s="211" t="s">
        <v>55</v>
      </c>
      <c r="F56" s="211" t="s">
        <v>786</v>
      </c>
      <c r="G56" s="211" t="s">
        <v>787</v>
      </c>
      <c r="H56" s="135" t="s">
        <v>252</v>
      </c>
      <c r="I56" s="135" t="s">
        <v>492</v>
      </c>
      <c r="J56" s="182" t="s">
        <v>788</v>
      </c>
      <c r="K56" s="135" t="s">
        <v>197</v>
      </c>
      <c r="L56" s="135" t="s">
        <v>57</v>
      </c>
      <c r="M56" s="213">
        <v>48</v>
      </c>
      <c r="N56" s="143" t="str">
        <f>_xlfn.IFERROR(VLOOKUP(O56,datos!$AC$2:$AE$7,3,0),"")</f>
        <v>Media</v>
      </c>
      <c r="O56" s="131">
        <f>+IF(OR(M56="",M56=0),"",IF(M56&lt;=datos!$AD$3,datos!$AC$3,IF(AND(M56&gt;datos!$AD$3,M56&lt;=datos!$AD$4),datos!$AC$4,IF(AND(M56&gt;datos!$AD$4,M56&lt;=datos!$AD$5),datos!$AC$5,IF(AND(M56&gt;datos!$AD$5,M56&lt;=datos!$AD$6),datos!$AC$6,IF(M56&gt;datos!$AD$7,datos!$AC$7,0))))))</f>
        <v>0.6</v>
      </c>
      <c r="P56" s="145" t="str">
        <f>+HLOOKUP(A56,'Impacto Riesgo de Corrupción'!$D$5:$AS$26,22,0)</f>
        <v>Mayor</v>
      </c>
      <c r="Q56" s="131">
        <f>+IF(P56="","",VLOOKUP(P56,datos!$AC$12:$AD$15,2,0))</f>
        <v>0.8</v>
      </c>
      <c r="R56" s="142" t="str">
        <f aca="true" ca="1" t="shared" si="10" ref="R56:R61">_xlfn.IFERROR(INDIRECT("datos!"&amp;HLOOKUP(P56,calculo_imp,2,FALSE)&amp;VLOOKUP(N56,calculo_prob,2,FALSE)),"")</f>
        <v>Alto</v>
      </c>
      <c r="S56" s="214">
        <v>1</v>
      </c>
      <c r="T56" s="135" t="s">
        <v>789</v>
      </c>
      <c r="U56" s="215" t="s">
        <v>790</v>
      </c>
      <c r="V56" s="215" t="s">
        <v>722</v>
      </c>
      <c r="W56" s="215" t="s">
        <v>791</v>
      </c>
      <c r="X56" s="215" t="s">
        <v>792</v>
      </c>
      <c r="Y56" s="215" t="s">
        <v>793</v>
      </c>
      <c r="Z56" s="215" t="s">
        <v>794</v>
      </c>
      <c r="AA56" s="83" t="s">
        <v>795</v>
      </c>
      <c r="AB56" s="83" t="s">
        <v>796</v>
      </c>
      <c r="AC56" s="138" t="str">
        <f>IF(AD56="","",VLOOKUP(AD56,datos!$AT$6:$AU$9,2,0))</f>
        <v>Probabilidad</v>
      </c>
      <c r="AD56" s="135" t="s">
        <v>80</v>
      </c>
      <c r="AE56" s="135" t="s">
        <v>84</v>
      </c>
      <c r="AF56" s="92">
        <f>IF(AND(AD56="",AE56=""),"",IF(AD56="",0,VLOOKUP(AD56,datos!$AP$3:$AR$7,3,0))+IF(AE56="",0,VLOOKUP(AE56,datos!$AP$3:$AR$7,3,0)))</f>
        <v>0.4</v>
      </c>
      <c r="AG56" s="108" t="str">
        <f>IF(OR(AH56="",AH56=0),"",IF(AH56&lt;=datos!$AC$3,datos!$AE$3,IF(AH56&lt;=datos!$AC$4,datos!$AE$4,IF(AH56&lt;=datos!$AC$5,datos!$AE$5,IF(AH56&lt;=datos!$AC$6,datos!$AE$6,IF(AH56&lt;=datos!$AC$7,datos!$AE$7,""))))))</f>
        <v>Baja</v>
      </c>
      <c r="AH56" s="109">
        <f t="shared" si="7"/>
        <v>0.36</v>
      </c>
      <c r="AI56" s="144" t="str">
        <f>+IF(AJ56&lt;=datos!$AD$11,datos!$AC$11,IF(AJ56&lt;=datos!$AD$12,datos!$AC$12,IF(AJ56&lt;=datos!$AD$13,datos!$AC$13,IF(AJ56&lt;=datos!$AD$14,datos!$AC$14,IF(AJ56&lt;=datos!$AD$15,datos!$AC$15,"")))))</f>
        <v>Mayor</v>
      </c>
      <c r="AJ56" s="109">
        <f t="shared" si="8"/>
        <v>0.8</v>
      </c>
      <c r="AK56" s="144" t="str">
        <f ca="1" t="shared" si="9"/>
        <v>Alto</v>
      </c>
      <c r="AL56" s="97"/>
      <c r="AM56" s="135"/>
      <c r="AN56" s="84"/>
      <c r="AO56" s="84"/>
      <c r="AP56" s="135"/>
      <c r="AQ56" s="181" t="s">
        <v>797</v>
      </c>
      <c r="AR56" s="135">
        <v>0</v>
      </c>
    </row>
    <row r="57" spans="1:44" ht="216.75" thickBot="1">
      <c r="A57" s="233">
        <v>33</v>
      </c>
      <c r="B57" s="135" t="s">
        <v>37</v>
      </c>
      <c r="C57" s="211" t="s">
        <v>765</v>
      </c>
      <c r="D57" s="212" t="s">
        <v>134</v>
      </c>
      <c r="E57" s="211" t="s">
        <v>55</v>
      </c>
      <c r="F57" s="211" t="s">
        <v>798</v>
      </c>
      <c r="G57" s="211" t="s">
        <v>799</v>
      </c>
      <c r="H57" s="135" t="s">
        <v>252</v>
      </c>
      <c r="I57" s="135" t="s">
        <v>492</v>
      </c>
      <c r="J57" s="181" t="s">
        <v>800</v>
      </c>
      <c r="K57" s="135" t="s">
        <v>197</v>
      </c>
      <c r="L57" s="135" t="s">
        <v>57</v>
      </c>
      <c r="M57" s="213">
        <v>243</v>
      </c>
      <c r="N57" s="143" t="str">
        <f>_xlfn.IFERROR(VLOOKUP(O57,datos!$AC$2:$AE$7,3,0),"")</f>
        <v>Media</v>
      </c>
      <c r="O57" s="131">
        <f>+IF(OR(M57="",M57=0),"",IF(M57&lt;=datos!$AD$3,datos!$AC$3,IF(AND(M57&gt;datos!$AD$3,M57&lt;=datos!$AD$4),datos!$AC$4,IF(AND(M57&gt;datos!$AD$4,M57&lt;=datos!$AD$5),datos!$AC$5,IF(AND(M57&gt;datos!$AD$5,M57&lt;=datos!$AD$6),datos!$AC$6,IF(M57&gt;datos!$AD$7,datos!$AC$7,0))))))</f>
        <v>0.6</v>
      </c>
      <c r="P57" s="145" t="str">
        <f>+HLOOKUP(A57,'Impacto Riesgo de Corrupción'!$D$5:$AS$26,22,0)</f>
        <v>Mayor</v>
      </c>
      <c r="Q57" s="131">
        <f>+IF(P57="","",VLOOKUP(P57,datos!$AC$12:$AD$15,2,0))</f>
        <v>0.8</v>
      </c>
      <c r="R57" s="142" t="str">
        <f ca="1" t="shared" si="10"/>
        <v>Alto</v>
      </c>
      <c r="S57" s="214">
        <v>1</v>
      </c>
      <c r="T57" s="135" t="s">
        <v>801</v>
      </c>
      <c r="U57" s="215" t="s">
        <v>802</v>
      </c>
      <c r="V57" s="215" t="s">
        <v>803</v>
      </c>
      <c r="W57" s="215" t="s">
        <v>804</v>
      </c>
      <c r="X57" s="215" t="s">
        <v>805</v>
      </c>
      <c r="Y57" s="215" t="s">
        <v>806</v>
      </c>
      <c r="Z57" s="215" t="s">
        <v>807</v>
      </c>
      <c r="AA57" s="83" t="s">
        <v>808</v>
      </c>
      <c r="AB57" s="83" t="s">
        <v>796</v>
      </c>
      <c r="AC57" s="138" t="str">
        <f>IF(AD57="","",VLOOKUP(AD57,datos!$AT$6:$AU$9,2,0))</f>
        <v>Probabilidad</v>
      </c>
      <c r="AD57" s="135" t="s">
        <v>80</v>
      </c>
      <c r="AE57" s="135" t="s">
        <v>84</v>
      </c>
      <c r="AF57" s="92">
        <f>IF(AND(AD57="",AE57=""),"",IF(AD57="",0,VLOOKUP(AD57,datos!$AP$3:$AR$7,3,0))+IF(AE57="",0,VLOOKUP(AE57,datos!$AP$3:$AR$7,3,0)))</f>
        <v>0.4</v>
      </c>
      <c r="AG57" s="108" t="str">
        <f>IF(OR(AH57="",AH57=0),"",IF(AH57&lt;=datos!$AC$3,datos!$AE$3,IF(AH57&lt;=datos!$AC$4,datos!$AE$4,IF(AH57&lt;=datos!$AC$5,datos!$AE$5,IF(AH57&lt;=datos!$AC$6,datos!$AE$6,IF(AH57&lt;=datos!$AC$7,datos!$AE$7,""))))))</f>
        <v>Baja</v>
      </c>
      <c r="AH57" s="109">
        <f t="shared" si="7"/>
        <v>0.36</v>
      </c>
      <c r="AI57" s="144" t="str">
        <f>+IF(AJ57&lt;=datos!$AD$11,datos!$AC$11,IF(AJ57&lt;=datos!$AD$12,datos!$AC$12,IF(AJ57&lt;=datos!$AD$13,datos!$AC$13,IF(AJ57&lt;=datos!$AD$14,datos!$AC$14,IF(AJ57&lt;=datos!$AD$15,datos!$AC$15,"")))))</f>
        <v>Mayor</v>
      </c>
      <c r="AJ57" s="109">
        <f t="shared" si="8"/>
        <v>0.8</v>
      </c>
      <c r="AK57" s="144" t="str">
        <f ca="1" t="shared" si="9"/>
        <v>Alto</v>
      </c>
      <c r="AL57" s="97"/>
      <c r="AM57" s="135"/>
      <c r="AN57" s="84"/>
      <c r="AO57" s="84"/>
      <c r="AP57" s="135"/>
      <c r="AQ57" s="181" t="s">
        <v>809</v>
      </c>
      <c r="AR57" s="135">
        <v>0</v>
      </c>
    </row>
    <row r="58" spans="1:44" ht="216.75" thickBot="1">
      <c r="A58" s="233">
        <v>34</v>
      </c>
      <c r="B58" s="135" t="s">
        <v>37</v>
      </c>
      <c r="C58" s="211" t="s">
        <v>765</v>
      </c>
      <c r="D58" s="212" t="s">
        <v>134</v>
      </c>
      <c r="E58" s="211" t="s">
        <v>53</v>
      </c>
      <c r="F58" s="211" t="s">
        <v>810</v>
      </c>
      <c r="G58" s="211" t="s">
        <v>811</v>
      </c>
      <c r="H58" s="135" t="s">
        <v>252</v>
      </c>
      <c r="I58" s="135" t="s">
        <v>492</v>
      </c>
      <c r="J58" s="181" t="s">
        <v>812</v>
      </c>
      <c r="K58" s="135" t="s">
        <v>197</v>
      </c>
      <c r="L58" s="135" t="s">
        <v>57</v>
      </c>
      <c r="M58" s="213">
        <v>293</v>
      </c>
      <c r="N58" s="143" t="str">
        <f>_xlfn.IFERROR(VLOOKUP(O58,datos!$AC$2:$AE$7,3,0),"")</f>
        <v>Media</v>
      </c>
      <c r="O58" s="131">
        <f>+IF(OR(M58="",M58=0),"",IF(M58&lt;=datos!$AD$3,datos!$AC$3,IF(AND(M58&gt;datos!$AD$3,M58&lt;=datos!$AD$4),datos!$AC$4,IF(AND(M58&gt;datos!$AD$4,M58&lt;=datos!$AD$5),datos!$AC$5,IF(AND(M58&gt;datos!$AD$5,M58&lt;=datos!$AD$6),datos!$AC$6,IF(M58&gt;datos!$AD$7,datos!$AC$7,0))))))</f>
        <v>0.6</v>
      </c>
      <c r="P58" s="145" t="str">
        <f>+HLOOKUP(A58,'Impacto Riesgo de Corrupción'!$D$5:$AS$26,22,0)</f>
        <v>Mayor</v>
      </c>
      <c r="Q58" s="131">
        <f>+IF(P58="","",VLOOKUP(P58,datos!$AC$12:$AD$15,2,0))</f>
        <v>0.8</v>
      </c>
      <c r="R58" s="142" t="str">
        <f ca="1" t="shared" si="10"/>
        <v>Alto</v>
      </c>
      <c r="S58" s="214">
        <v>1</v>
      </c>
      <c r="T58" s="135" t="s">
        <v>813</v>
      </c>
      <c r="U58" s="215" t="s">
        <v>814</v>
      </c>
      <c r="V58" s="215" t="s">
        <v>815</v>
      </c>
      <c r="W58" s="215" t="s">
        <v>816</v>
      </c>
      <c r="X58" s="215" t="s">
        <v>817</v>
      </c>
      <c r="Y58" s="215" t="s">
        <v>818</v>
      </c>
      <c r="Z58" s="215" t="s">
        <v>819</v>
      </c>
      <c r="AA58" s="83" t="s">
        <v>820</v>
      </c>
      <c r="AB58" s="83" t="s">
        <v>760</v>
      </c>
      <c r="AC58" s="138" t="str">
        <f>IF(AD58="","",VLOOKUP(AD58,datos!$AT$6:$AU$9,2,0))</f>
        <v>Probabilidad</v>
      </c>
      <c r="AD58" s="135" t="s">
        <v>80</v>
      </c>
      <c r="AE58" s="135" t="s">
        <v>84</v>
      </c>
      <c r="AF58" s="92">
        <f>IF(AND(AD58="",AE58=""),"",IF(AD58="",0,VLOOKUP(AD58,datos!$AP$3:$AR$7,3,0))+IF(AE58="",0,VLOOKUP(AE58,datos!$AP$3:$AR$7,3,0)))</f>
        <v>0.4</v>
      </c>
      <c r="AG58" s="108" t="str">
        <f>IF(OR(AH58="",AH58=0),"",IF(AH58&lt;=datos!$AC$3,datos!$AE$3,IF(AH58&lt;=datos!$AC$4,datos!$AE$4,IF(AH58&lt;=datos!$AC$5,datos!$AE$5,IF(AH58&lt;=datos!$AC$6,datos!$AE$6,IF(AH58&lt;=datos!$AC$7,datos!$AE$7,""))))))</f>
        <v>Baja</v>
      </c>
      <c r="AH58" s="109">
        <f t="shared" si="7"/>
        <v>0.36</v>
      </c>
      <c r="AI58" s="144" t="str">
        <f>+IF(AJ58&lt;=datos!$AD$11,datos!$AC$11,IF(AJ58&lt;=datos!$AD$12,datos!$AC$12,IF(AJ58&lt;=datos!$AD$13,datos!$AC$13,IF(AJ58&lt;=datos!$AD$14,datos!$AC$14,IF(AJ58&lt;=datos!$AD$15,datos!$AC$15,"")))))</f>
        <v>Mayor</v>
      </c>
      <c r="AJ58" s="109">
        <f t="shared" si="8"/>
        <v>0.8</v>
      </c>
      <c r="AK58" s="144" t="str">
        <f ca="1" t="shared" si="9"/>
        <v>Alto</v>
      </c>
      <c r="AL58" s="97"/>
      <c r="AM58" s="135"/>
      <c r="AN58" s="84"/>
      <c r="AO58" s="84"/>
      <c r="AP58" s="135"/>
      <c r="AQ58" s="181" t="s">
        <v>821</v>
      </c>
      <c r="AR58" s="135">
        <v>0</v>
      </c>
    </row>
    <row r="59" spans="1:44" ht="216.75" thickBot="1">
      <c r="A59" s="233">
        <v>35</v>
      </c>
      <c r="B59" s="135" t="s">
        <v>37</v>
      </c>
      <c r="C59" s="211" t="s">
        <v>765</v>
      </c>
      <c r="D59" s="212" t="s">
        <v>134</v>
      </c>
      <c r="E59" s="211" t="s">
        <v>53</v>
      </c>
      <c r="F59" s="211" t="s">
        <v>822</v>
      </c>
      <c r="G59" s="211" t="s">
        <v>823</v>
      </c>
      <c r="H59" s="135" t="s">
        <v>252</v>
      </c>
      <c r="I59" s="135" t="s">
        <v>492</v>
      </c>
      <c r="J59" s="181" t="s">
        <v>824</v>
      </c>
      <c r="K59" s="135" t="s">
        <v>197</v>
      </c>
      <c r="L59" s="135" t="s">
        <v>57</v>
      </c>
      <c r="M59" s="213">
        <v>41</v>
      </c>
      <c r="N59" s="143" t="str">
        <f>_xlfn.IFERROR(VLOOKUP(O59,datos!$AC$2:$AE$7,3,0),"")</f>
        <v>Media</v>
      </c>
      <c r="O59" s="131">
        <f>+IF(OR(M59="",M59=0),"",IF(M59&lt;=datos!$AD$3,datos!$AC$3,IF(AND(M59&gt;datos!$AD$3,M59&lt;=datos!$AD$4),datos!$AC$4,IF(AND(M59&gt;datos!$AD$4,M59&lt;=datos!$AD$5),datos!$AC$5,IF(AND(M59&gt;datos!$AD$5,M59&lt;=datos!$AD$6),datos!$AC$6,IF(M59&gt;datos!$AD$7,datos!$AC$7,0))))))</f>
        <v>0.6</v>
      </c>
      <c r="P59" s="145" t="str">
        <f>+HLOOKUP(A59,'Impacto Riesgo de Corrupción'!$D$5:$AS$26,22,0)</f>
        <v>Mayor</v>
      </c>
      <c r="Q59" s="131">
        <f>+IF(P59="","",VLOOKUP(P59,datos!$AC$12:$AD$15,2,0))</f>
        <v>0.8</v>
      </c>
      <c r="R59" s="142" t="str">
        <f ca="1" t="shared" si="10"/>
        <v>Alto</v>
      </c>
      <c r="S59" s="216">
        <v>1</v>
      </c>
      <c r="T59" s="217" t="s">
        <v>825</v>
      </c>
      <c r="U59" s="218" t="s">
        <v>826</v>
      </c>
      <c r="V59" s="218" t="s">
        <v>827</v>
      </c>
      <c r="W59" s="218" t="s">
        <v>828</v>
      </c>
      <c r="X59" s="218" t="s">
        <v>829</v>
      </c>
      <c r="Y59" s="218" t="s">
        <v>830</v>
      </c>
      <c r="Z59" s="218" t="s">
        <v>831</v>
      </c>
      <c r="AA59" s="173" t="s">
        <v>832</v>
      </c>
      <c r="AB59" s="219" t="s">
        <v>796</v>
      </c>
      <c r="AC59" s="138" t="str">
        <f>IF(AD59="","",VLOOKUP(AD59,datos!$AT$6:$AU$9,2,0))</f>
        <v>Probabilidad</v>
      </c>
      <c r="AD59" s="220" t="s">
        <v>80</v>
      </c>
      <c r="AE59" s="220" t="s">
        <v>84</v>
      </c>
      <c r="AF59" s="92">
        <f>IF(AND(AD59="",AE59=""),"",IF(AD59="",0,VLOOKUP(AD59,datos!$AP$3:$AR$7,3,0))+IF(AE59="",0,VLOOKUP(AE59,datos!$AP$3:$AR$7,3,0)))</f>
        <v>0.4</v>
      </c>
      <c r="AG59" s="108" t="str">
        <f>IF(OR(AH59="",AH59=0),"",IF(AH59&lt;=datos!$AC$3,datos!$AE$3,IF(AH59&lt;=datos!$AC$4,datos!$AE$4,IF(AH59&lt;=datos!$AC$5,datos!$AE$5,IF(AH59&lt;=datos!$AC$6,datos!$AE$6,IF(AH59&lt;=datos!$AC$7,datos!$AE$7,""))))))</f>
        <v>Baja</v>
      </c>
      <c r="AH59" s="109">
        <f t="shared" si="7"/>
        <v>0.36</v>
      </c>
      <c r="AI59" s="144" t="str">
        <f>+IF(AJ59&lt;=datos!$AD$11,datos!$AC$11,IF(AJ59&lt;=datos!$AD$12,datos!$AC$12,IF(AJ59&lt;=datos!$AD$13,datos!$AC$13,IF(AJ59&lt;=datos!$AD$14,datos!$AC$14,IF(AJ59&lt;=datos!$AD$15,datos!$AC$15,"")))))</f>
        <v>Mayor</v>
      </c>
      <c r="AJ59" s="109">
        <f t="shared" si="8"/>
        <v>0.8</v>
      </c>
      <c r="AK59" s="144" t="str">
        <f ca="1" t="shared" si="9"/>
        <v>Alto</v>
      </c>
      <c r="AL59" s="221"/>
      <c r="AM59" s="222"/>
      <c r="AN59" s="223"/>
      <c r="AO59" s="223"/>
      <c r="AP59" s="222"/>
      <c r="AQ59" s="181" t="s">
        <v>809</v>
      </c>
      <c r="AR59" s="135">
        <v>0</v>
      </c>
    </row>
    <row r="60" spans="1:44" ht="216.75" thickBot="1">
      <c r="A60" s="233">
        <v>36</v>
      </c>
      <c r="B60" s="135" t="s">
        <v>37</v>
      </c>
      <c r="C60" s="135" t="s">
        <v>765</v>
      </c>
      <c r="D60" s="224" t="s">
        <v>134</v>
      </c>
      <c r="E60" s="135" t="s">
        <v>55</v>
      </c>
      <c r="F60" s="225" t="s">
        <v>833</v>
      </c>
      <c r="G60" s="135" t="s">
        <v>834</v>
      </c>
      <c r="H60" s="135" t="s">
        <v>252</v>
      </c>
      <c r="I60" s="135" t="s">
        <v>492</v>
      </c>
      <c r="J60" s="213" t="s">
        <v>835</v>
      </c>
      <c r="K60" s="135" t="s">
        <v>197</v>
      </c>
      <c r="L60" s="135" t="s">
        <v>57</v>
      </c>
      <c r="M60" s="213">
        <v>80</v>
      </c>
      <c r="N60" s="143" t="str">
        <f>_xlfn.IFERROR(VLOOKUP(O60,datos!$AC$2:$AE$7,3,0),"")</f>
        <v>Media</v>
      </c>
      <c r="O60" s="131">
        <f>+IF(OR(M60="",M60=0),"",IF(M60&lt;=datos!$AD$3,datos!$AC$3,IF(AND(M60&gt;datos!$AD$3,M60&lt;=datos!$AD$4),datos!$AC$4,IF(AND(M60&gt;datos!$AD$4,M60&lt;=datos!$AD$5),datos!$AC$5,IF(AND(M60&gt;datos!$AD$5,M60&lt;=datos!$AD$6),datos!$AC$6,IF(M60&gt;datos!$AD$7,datos!$AC$7,0))))))</f>
        <v>0.6</v>
      </c>
      <c r="P60" s="145" t="str">
        <f>+HLOOKUP(A60,'Impacto Riesgo de Corrupción'!$D$5:$AS$26,22,0)</f>
        <v>Mayor</v>
      </c>
      <c r="Q60" s="131">
        <f>+IF(P60="","",VLOOKUP(P60,datos!$AC$12:$AD$15,2,0))</f>
        <v>0.8</v>
      </c>
      <c r="R60" s="142" t="str">
        <f ca="1" t="shared" si="10"/>
        <v>Alto</v>
      </c>
      <c r="S60" s="214">
        <v>1</v>
      </c>
      <c r="T60" s="135" t="s">
        <v>836</v>
      </c>
      <c r="U60" s="83" t="s">
        <v>770</v>
      </c>
      <c r="V60" s="83" t="s">
        <v>837</v>
      </c>
      <c r="W60" s="83" t="s">
        <v>838</v>
      </c>
      <c r="X60" s="83" t="s">
        <v>839</v>
      </c>
      <c r="Y60" s="83" t="s">
        <v>840</v>
      </c>
      <c r="Z60" s="83" t="s">
        <v>841</v>
      </c>
      <c r="AA60" s="83" t="s">
        <v>842</v>
      </c>
      <c r="AB60" s="83" t="s">
        <v>760</v>
      </c>
      <c r="AC60" s="138" t="str">
        <f>IF(AD60="","",VLOOKUP(AD60,datos!$AT$6:$AU$9,2,0))</f>
        <v>Probabilidad</v>
      </c>
      <c r="AD60" s="135" t="s">
        <v>80</v>
      </c>
      <c r="AE60" s="135" t="s">
        <v>84</v>
      </c>
      <c r="AF60" s="92">
        <f>IF(AND(AD60="",AE60=""),"",IF(AD60="",0,VLOOKUP(AD60,datos!$AP$3:$AR$7,3,0))+IF(AE60="",0,VLOOKUP(AE60,datos!$AP$3:$AR$7,3,0)))</f>
        <v>0.4</v>
      </c>
      <c r="AG60" s="108" t="str">
        <f>IF(OR(AH60="",AH60=0),"",IF(AH60&lt;=datos!$AC$3,datos!$AE$3,IF(AH60&lt;=datos!$AC$4,datos!$AE$4,IF(AH60&lt;=datos!$AC$5,datos!$AE$5,IF(AH60&lt;=datos!$AC$6,datos!$AE$6,IF(AH60&lt;=datos!$AC$7,datos!$AE$7,""))))))</f>
        <v>Baja</v>
      </c>
      <c r="AH60" s="109">
        <f t="shared" si="7"/>
        <v>0.36</v>
      </c>
      <c r="AI60" s="144" t="str">
        <f>+IF(AJ60&lt;=datos!$AD$11,datos!$AC$11,IF(AJ60&lt;=datos!$AD$12,datos!$AC$12,IF(AJ60&lt;=datos!$AD$13,datos!$AC$13,IF(AJ60&lt;=datos!$AD$14,datos!$AC$14,IF(AJ60&lt;=datos!$AD$15,datos!$AC$15,"")))))</f>
        <v>Mayor</v>
      </c>
      <c r="AJ60" s="109">
        <f t="shared" si="8"/>
        <v>0.8</v>
      </c>
      <c r="AK60" s="144" t="str">
        <f ca="1" t="shared" si="9"/>
        <v>Alto</v>
      </c>
      <c r="AL60" s="97"/>
      <c r="AM60" s="135"/>
      <c r="AN60" s="84"/>
      <c r="AO60" s="84"/>
      <c r="AP60" s="135"/>
      <c r="AQ60" s="181" t="s">
        <v>809</v>
      </c>
      <c r="AR60" s="135">
        <v>0</v>
      </c>
    </row>
    <row r="61" spans="1:44" ht="204.75" thickBot="1">
      <c r="A61" s="238">
        <v>37</v>
      </c>
      <c r="B61" s="240" t="s">
        <v>33</v>
      </c>
      <c r="C61" s="242" t="s">
        <v>267</v>
      </c>
      <c r="D61" s="244" t="s">
        <v>131</v>
      </c>
      <c r="E61" s="240" t="s">
        <v>54</v>
      </c>
      <c r="F61" s="240" t="s">
        <v>843</v>
      </c>
      <c r="G61" s="240" t="s">
        <v>844</v>
      </c>
      <c r="H61" s="240" t="s">
        <v>251</v>
      </c>
      <c r="I61" s="240" t="s">
        <v>845</v>
      </c>
      <c r="J61" s="242" t="s">
        <v>846</v>
      </c>
      <c r="K61" s="246" t="s">
        <v>197</v>
      </c>
      <c r="L61" s="248" t="s">
        <v>57</v>
      </c>
      <c r="M61" s="250">
        <f>365*24</f>
        <v>8760</v>
      </c>
      <c r="N61" s="252" t="str">
        <f>_xlfn.IFERROR(VLOOKUP(O61,datos!$AC$2:$AE$7,3,0),"")</f>
        <v>Muy Alta</v>
      </c>
      <c r="O61" s="254">
        <f>+IF(OR(M61="",M61=0),"",IF(M61&lt;=datos!$AD$3,datos!$AC$3,IF(AND(M61&gt;datos!$AD$3,M61&lt;=datos!$AD$4),datos!$AC$4,IF(AND(M61&gt;datos!$AD$4,M61&lt;=datos!$AD$5),datos!$AC$5,IF(AND(M61&gt;datos!$AD$5,M61&lt;=datos!$AD$6),datos!$AC$6,IF(M61&gt;datos!$AD$7,datos!$AC$7,0))))))</f>
        <v>1</v>
      </c>
      <c r="P61" s="256" t="str">
        <f>+HLOOKUP(A61,'Impacto Riesgo de Corrupción'!$D$5:$AS$26,22,0)</f>
        <v>Catastrófico</v>
      </c>
      <c r="Q61" s="254">
        <f>+IF(P61="","",VLOOKUP(P61,datos!$AC$12:$AD$15,2,0))</f>
        <v>1</v>
      </c>
      <c r="R61" s="258" t="str">
        <f ca="1" t="shared" si="10"/>
        <v>Extremo</v>
      </c>
      <c r="S61" s="94">
        <v>1</v>
      </c>
      <c r="T61" s="136" t="s">
        <v>847</v>
      </c>
      <c r="U61" s="85" t="s">
        <v>848</v>
      </c>
      <c r="V61" s="85" t="s">
        <v>849</v>
      </c>
      <c r="W61" s="85" t="s">
        <v>850</v>
      </c>
      <c r="X61" s="85" t="s">
        <v>851</v>
      </c>
      <c r="Y61" s="85" t="s">
        <v>852</v>
      </c>
      <c r="Z61" s="158" t="s">
        <v>853</v>
      </c>
      <c r="AA61" s="85" t="s">
        <v>854</v>
      </c>
      <c r="AB61" s="85" t="s">
        <v>855</v>
      </c>
      <c r="AC61" s="138" t="str">
        <f>IF(AD61="","",VLOOKUP(AD61,datos!$AT$6:$AU$9,2,0))</f>
        <v>Probabilidad</v>
      </c>
      <c r="AD61" s="135" t="s">
        <v>80</v>
      </c>
      <c r="AE61" s="135" t="s">
        <v>84</v>
      </c>
      <c r="AF61" s="92">
        <f>IF(AND(AD61="",AE61=""),"",IF(AD61="",0,VLOOKUP(AD61,datos!$AP$3:$AR$7,3,0))+IF(AE61="",0,VLOOKUP(AE61,datos!$AP$3:$AR$7,3,0)))</f>
        <v>0.4</v>
      </c>
      <c r="AG61" s="108" t="str">
        <f>IF(OR(AH61="",AH61=0),"",IF(AH61&lt;=datos!$AC$3,datos!$AE$3,IF(AH61&lt;=datos!$AC$4,datos!$AE$4,IF(AH61&lt;=datos!$AC$5,datos!$AE$5,IF(AH61&lt;=datos!$AC$6,datos!$AE$6,IF(AH61&lt;=datos!$AC$7,datos!$AE$7,""))))))</f>
        <v>Media</v>
      </c>
      <c r="AH61" s="109">
        <f aca="true" t="shared" si="11" ref="AH61:AH68">IF(AC61="","",IF(S61=1,IF(AC61="Probabilidad",O61-(O61*AF61),O61),IF(AC61="Probabilidad",AH60-(AH60*AF61),AH60)))</f>
        <v>0.6</v>
      </c>
      <c r="AI61" s="144" t="str">
        <f>+IF(AJ61&lt;=datos!$AD$11,datos!$AC$11,IF(AJ61&lt;=datos!$AD$12,datos!$AC$12,IF(AJ61&lt;=datos!$AD$13,datos!$AC$13,IF(AJ61&lt;=datos!$AD$14,datos!$AC$14,IF(AJ61&lt;=datos!$AD$15,datos!$AC$15,"")))))</f>
        <v>Catastrófico</v>
      </c>
      <c r="AJ61" s="109">
        <f aca="true" t="shared" si="12" ref="AJ61:AJ68">IF(AC61="","",IF(S61=1,IF(AC61="Impacto",Q61-(Q61*AF61),Q61),IF(AC61="Impacto",AJ60-(AJ60*AF61),AJ60)))</f>
        <v>1</v>
      </c>
      <c r="AK61" s="144" t="str">
        <f aca="true" ca="1" t="shared" si="13" ref="AK61:AK68">_xlfn.IFERROR(INDIRECT("datos!"&amp;HLOOKUP(AI61,calculo_imp,2,FALSE)&amp;VLOOKUP(AG61,calculo_prob,2,FALSE)),"")</f>
        <v>Extremo</v>
      </c>
      <c r="AL61" s="89" t="s">
        <v>92</v>
      </c>
      <c r="AM61" s="188" t="s">
        <v>856</v>
      </c>
      <c r="AN61" s="192" t="s">
        <v>849</v>
      </c>
      <c r="AO61" s="84" t="s">
        <v>857</v>
      </c>
      <c r="AP61" s="136"/>
      <c r="AQ61" s="234" t="s">
        <v>858</v>
      </c>
      <c r="AR61" s="236">
        <v>0</v>
      </c>
    </row>
    <row r="62" spans="1:44" ht="204.75" thickBot="1">
      <c r="A62" s="239"/>
      <c r="B62" s="241"/>
      <c r="C62" s="243"/>
      <c r="D62" s="245"/>
      <c r="E62" s="241"/>
      <c r="F62" s="241"/>
      <c r="G62" s="241"/>
      <c r="H62" s="241"/>
      <c r="I62" s="241"/>
      <c r="J62" s="243"/>
      <c r="K62" s="247"/>
      <c r="L62" s="249"/>
      <c r="M62" s="251"/>
      <c r="N62" s="253"/>
      <c r="O62" s="255"/>
      <c r="P62" s="257"/>
      <c r="Q62" s="255" t="e">
        <f>IF(OR(#REF!=datos!$AB$10,#REF!=datos!$AB$16),"",VLOOKUP(#REF!,datos!$AA$10:$AC$21,3,0))</f>
        <v>#REF!</v>
      </c>
      <c r="R62" s="259"/>
      <c r="S62" s="96">
        <v>2</v>
      </c>
      <c r="T62" s="136" t="s">
        <v>859</v>
      </c>
      <c r="U62" s="83" t="s">
        <v>848</v>
      </c>
      <c r="V62" s="83" t="s">
        <v>860</v>
      </c>
      <c r="W62" s="83" t="s">
        <v>861</v>
      </c>
      <c r="X62" s="83" t="s">
        <v>862</v>
      </c>
      <c r="Y62" s="83" t="s">
        <v>863</v>
      </c>
      <c r="Z62" s="159" t="s">
        <v>864</v>
      </c>
      <c r="AA62" s="83" t="s">
        <v>865</v>
      </c>
      <c r="AB62" s="83" t="s">
        <v>855</v>
      </c>
      <c r="AC62" s="138" t="str">
        <f>IF(AD62="","",VLOOKUP(AD62,datos!$AT$6:$AU$9,2,0))</f>
        <v>Probabilidad</v>
      </c>
      <c r="AD62" s="135" t="s">
        <v>80</v>
      </c>
      <c r="AE62" s="135" t="s">
        <v>84</v>
      </c>
      <c r="AF62" s="92">
        <f>IF(AND(AD62="",AE62=""),"",IF(AD62="",0,VLOOKUP(AD62,datos!$AP$3:$AR$7,3,0))+IF(AE62="",0,VLOOKUP(AE62,datos!$AP$3:$AR$7,3,0)))</f>
        <v>0.4</v>
      </c>
      <c r="AG62" s="108" t="str">
        <f>IF(OR(AH62="",AH62=0),"",IF(AH62&lt;=datos!$AC$3,datos!$AE$3,IF(AH62&lt;=datos!$AC$4,datos!$AE$4,IF(AH62&lt;=datos!$AC$5,datos!$AE$5,IF(AH62&lt;=datos!$AC$6,datos!$AE$6,IF(AH62&lt;=datos!$AC$7,datos!$AE$7,""))))))</f>
        <v>Baja</v>
      </c>
      <c r="AH62" s="109">
        <f t="shared" si="11"/>
        <v>0.36</v>
      </c>
      <c r="AI62" s="144" t="str">
        <f>+IF(AJ62&lt;=datos!$AD$11,datos!$AC$11,IF(AJ62&lt;=datos!$AD$12,datos!$AC$12,IF(AJ62&lt;=datos!$AD$13,datos!$AC$13,IF(AJ62&lt;=datos!$AD$14,datos!$AC$14,IF(AJ62&lt;=datos!$AD$15,datos!$AC$15,"")))))</f>
        <v>Catastrófico</v>
      </c>
      <c r="AJ62" s="109">
        <f t="shared" si="12"/>
        <v>1</v>
      </c>
      <c r="AK62" s="144" t="str">
        <f ca="1" t="shared" si="13"/>
        <v>Extremo</v>
      </c>
      <c r="AL62" s="90" t="s">
        <v>92</v>
      </c>
      <c r="AM62" s="188" t="s">
        <v>866</v>
      </c>
      <c r="AN62" s="192" t="s">
        <v>867</v>
      </c>
      <c r="AO62" s="84" t="s">
        <v>857</v>
      </c>
      <c r="AP62" s="135"/>
      <c r="AQ62" s="235"/>
      <c r="AR62" s="237"/>
    </row>
    <row r="63" spans="1:44" ht="204.75" thickBot="1">
      <c r="A63" s="239"/>
      <c r="B63" s="241"/>
      <c r="C63" s="243"/>
      <c r="D63" s="245"/>
      <c r="E63" s="241"/>
      <c r="F63" s="241"/>
      <c r="G63" s="241"/>
      <c r="H63" s="241"/>
      <c r="I63" s="241"/>
      <c r="J63" s="243"/>
      <c r="K63" s="247"/>
      <c r="L63" s="249"/>
      <c r="M63" s="251"/>
      <c r="N63" s="253"/>
      <c r="O63" s="255"/>
      <c r="P63" s="257"/>
      <c r="Q63" s="255" t="e">
        <f>IF(OR(#REF!=datos!$AB$10,#REF!=datos!$AB$16),"",VLOOKUP(#REF!,datos!$AA$10:$AC$21,3,0))</f>
        <v>#REF!</v>
      </c>
      <c r="R63" s="259"/>
      <c r="S63" s="96">
        <v>3</v>
      </c>
      <c r="T63" s="136" t="s">
        <v>868</v>
      </c>
      <c r="U63" s="83" t="s">
        <v>848</v>
      </c>
      <c r="V63" s="83" t="s">
        <v>849</v>
      </c>
      <c r="W63" s="83" t="s">
        <v>869</v>
      </c>
      <c r="X63" s="83" t="s">
        <v>870</v>
      </c>
      <c r="Y63" s="83" t="s">
        <v>871</v>
      </c>
      <c r="Z63" s="159" t="s">
        <v>872</v>
      </c>
      <c r="AA63" s="83" t="s">
        <v>865</v>
      </c>
      <c r="AB63" s="83" t="s">
        <v>855</v>
      </c>
      <c r="AC63" s="138" t="str">
        <f>IF(AD63="","",VLOOKUP(AD63,datos!$AT$6:$AU$9,2,0))</f>
        <v>Probabilidad</v>
      </c>
      <c r="AD63" s="135" t="s">
        <v>80</v>
      </c>
      <c r="AE63" s="135" t="s">
        <v>84</v>
      </c>
      <c r="AF63" s="92">
        <f>IF(AND(AD63="",AE63=""),"",IF(AD63="",0,VLOOKUP(AD63,datos!$AP$3:$AR$7,3,0))+IF(AE63="",0,VLOOKUP(AE63,datos!$AP$3:$AR$7,3,0)))</f>
        <v>0.4</v>
      </c>
      <c r="AG63" s="108" t="str">
        <f>IF(OR(AH63="",AH63=0),"",IF(AH63&lt;=datos!$AC$3,datos!$AE$3,IF(AH63&lt;=datos!$AC$4,datos!$AE$4,IF(AH63&lt;=datos!$AC$5,datos!$AE$5,IF(AH63&lt;=datos!$AC$6,datos!$AE$6,IF(AH63&lt;=datos!$AC$7,datos!$AE$7,""))))))</f>
        <v>Baja</v>
      </c>
      <c r="AH63" s="109">
        <f t="shared" si="11"/>
        <v>0.216</v>
      </c>
      <c r="AI63" s="144" t="str">
        <f>+IF(AJ63&lt;=datos!$AD$11,datos!$AC$11,IF(AJ63&lt;=datos!$AD$12,datos!$AC$12,IF(AJ63&lt;=datos!$AD$13,datos!$AC$13,IF(AJ63&lt;=datos!$AD$14,datos!$AC$14,IF(AJ63&lt;=datos!$AD$15,datos!$AC$15,"")))))</f>
        <v>Catastrófico</v>
      </c>
      <c r="AJ63" s="109">
        <f t="shared" si="12"/>
        <v>1</v>
      </c>
      <c r="AK63" s="144" t="str">
        <f ca="1" t="shared" si="13"/>
        <v>Extremo</v>
      </c>
      <c r="AL63" s="90" t="s">
        <v>92</v>
      </c>
      <c r="AM63" s="188" t="s">
        <v>866</v>
      </c>
      <c r="AN63" s="192" t="s">
        <v>867</v>
      </c>
      <c r="AO63" s="84" t="s">
        <v>857</v>
      </c>
      <c r="AP63" s="135"/>
      <c r="AQ63" s="235"/>
      <c r="AR63" s="237"/>
    </row>
    <row r="64" spans="1:44" ht="228.75" thickBot="1">
      <c r="A64" s="238">
        <v>38</v>
      </c>
      <c r="B64" s="240" t="s">
        <v>33</v>
      </c>
      <c r="C64" s="242" t="s">
        <v>267</v>
      </c>
      <c r="D64" s="244" t="s">
        <v>131</v>
      </c>
      <c r="E64" s="240" t="s">
        <v>54</v>
      </c>
      <c r="F64" s="240" t="s">
        <v>873</v>
      </c>
      <c r="G64" s="240" t="s">
        <v>874</v>
      </c>
      <c r="H64" s="240" t="s">
        <v>251</v>
      </c>
      <c r="I64" s="240" t="s">
        <v>845</v>
      </c>
      <c r="J64" s="242" t="s">
        <v>875</v>
      </c>
      <c r="K64" s="246" t="s">
        <v>197</v>
      </c>
      <c r="L64" s="248" t="s">
        <v>57</v>
      </c>
      <c r="M64" s="250">
        <f>365*24</f>
        <v>8760</v>
      </c>
      <c r="N64" s="252" t="str">
        <f>_xlfn.IFERROR(VLOOKUP(O64,datos!$AC$2:$AE$7,3,0),"")</f>
        <v>Muy Alta</v>
      </c>
      <c r="O64" s="254">
        <f>+IF(OR(M64="",M64=0),"",IF(M64&lt;=datos!$AD$3,datos!$AC$3,IF(AND(M64&gt;datos!$AD$3,M64&lt;=datos!$AD$4),datos!$AC$4,IF(AND(M64&gt;datos!$AD$4,M64&lt;=datos!$AD$5),datos!$AC$5,IF(AND(M64&gt;datos!$AD$5,M64&lt;=datos!$AD$6),datos!$AC$6,IF(M64&gt;datos!$AD$7,datos!$AC$7,0))))))</f>
        <v>1</v>
      </c>
      <c r="P64" s="256" t="str">
        <f>+HLOOKUP(A64,'Impacto Riesgo de Corrupción'!$D$5:$AS$26,22,0)</f>
        <v>Catastrófico</v>
      </c>
      <c r="Q64" s="254">
        <f>+IF(P64="","",VLOOKUP(P64,datos!$AC$12:$AD$15,2,0))</f>
        <v>1</v>
      </c>
      <c r="R64" s="258" t="str">
        <f ca="1">_xlfn.IFERROR(INDIRECT("datos!"&amp;HLOOKUP(P64,calculo_imp,2,FALSE)&amp;VLOOKUP(N64,calculo_prob,2,FALSE)),"")</f>
        <v>Extremo</v>
      </c>
      <c r="S64" s="94">
        <v>1</v>
      </c>
      <c r="T64" s="136" t="s">
        <v>876</v>
      </c>
      <c r="U64" s="83" t="s">
        <v>848</v>
      </c>
      <c r="V64" s="85" t="s">
        <v>877</v>
      </c>
      <c r="W64" s="85" t="s">
        <v>878</v>
      </c>
      <c r="X64" s="85" t="s">
        <v>879</v>
      </c>
      <c r="Y64" s="85" t="s">
        <v>880</v>
      </c>
      <c r="Z64" s="226" t="s">
        <v>881</v>
      </c>
      <c r="AA64" s="83" t="s">
        <v>865</v>
      </c>
      <c r="AB64" s="83" t="s">
        <v>855</v>
      </c>
      <c r="AC64" s="138" t="str">
        <f>IF(AD64="","",VLOOKUP(AD64,datos!$AT$6:$AU$9,2,0))</f>
        <v>Probabilidad</v>
      </c>
      <c r="AD64" s="135" t="s">
        <v>80</v>
      </c>
      <c r="AE64" s="135" t="s">
        <v>84</v>
      </c>
      <c r="AF64" s="92">
        <f>IF(AND(AD64="",AE64=""),"",IF(AD64="",0,VLOOKUP(AD64,datos!$AP$3:$AR$7,3,0))+IF(AE64="",0,VLOOKUP(AE64,datos!$AP$3:$AR$7,3,0)))</f>
        <v>0.4</v>
      </c>
      <c r="AG64" s="108" t="str">
        <f>IF(OR(AH64="",AH64=0),"",IF(AH64&lt;=datos!$AC$3,datos!$AE$3,IF(AH64&lt;=datos!$AC$4,datos!$AE$4,IF(AH64&lt;=datos!$AC$5,datos!$AE$5,IF(AH64&lt;=datos!$AC$6,datos!$AE$6,IF(AH64&lt;=datos!$AC$7,datos!$AE$7,""))))))</f>
        <v>Media</v>
      </c>
      <c r="AH64" s="109">
        <f t="shared" si="11"/>
        <v>0.6</v>
      </c>
      <c r="AI64" s="144" t="str">
        <f>+IF(AJ64&lt;=datos!$AD$11,datos!$AC$11,IF(AJ64&lt;=datos!$AD$12,datos!$AC$12,IF(AJ64&lt;=datos!$AD$13,datos!$AC$13,IF(AJ64&lt;=datos!$AD$14,datos!$AC$14,IF(AJ64&lt;=datos!$AD$15,datos!$AC$15,"")))))</f>
        <v>Catastrófico</v>
      </c>
      <c r="AJ64" s="109">
        <f t="shared" si="12"/>
        <v>1</v>
      </c>
      <c r="AK64" s="144" t="str">
        <f ca="1" t="shared" si="13"/>
        <v>Extremo</v>
      </c>
      <c r="AL64" s="90" t="s">
        <v>92</v>
      </c>
      <c r="AM64" s="188" t="s">
        <v>866</v>
      </c>
      <c r="AN64" s="192" t="s">
        <v>867</v>
      </c>
      <c r="AO64" s="84" t="s">
        <v>877</v>
      </c>
      <c r="AP64" s="136"/>
      <c r="AQ64" s="234" t="s">
        <v>882</v>
      </c>
      <c r="AR64" s="236">
        <v>0</v>
      </c>
    </row>
    <row r="65" spans="1:44" ht="276.75" thickBot="1">
      <c r="A65" s="239"/>
      <c r="B65" s="241"/>
      <c r="C65" s="243"/>
      <c r="D65" s="245"/>
      <c r="E65" s="241"/>
      <c r="F65" s="241"/>
      <c r="G65" s="241"/>
      <c r="H65" s="241"/>
      <c r="I65" s="241"/>
      <c r="J65" s="243"/>
      <c r="K65" s="247"/>
      <c r="L65" s="249"/>
      <c r="M65" s="251"/>
      <c r="N65" s="253"/>
      <c r="O65" s="255"/>
      <c r="P65" s="257"/>
      <c r="Q65" s="255" t="e">
        <f>IF(OR(#REF!=datos!$AB$10,#REF!=datos!$AB$16),"",VLOOKUP(#REF!,datos!$AA$10:$AC$21,3,0))</f>
        <v>#REF!</v>
      </c>
      <c r="R65" s="259"/>
      <c r="S65" s="96">
        <v>2</v>
      </c>
      <c r="T65" s="136" t="s">
        <v>883</v>
      </c>
      <c r="U65" s="83" t="s">
        <v>848</v>
      </c>
      <c r="V65" s="83" t="s">
        <v>849</v>
      </c>
      <c r="W65" s="83" t="s">
        <v>884</v>
      </c>
      <c r="X65" s="83" t="s">
        <v>885</v>
      </c>
      <c r="Y65" s="83" t="s">
        <v>886</v>
      </c>
      <c r="Z65" s="179" t="s">
        <v>887</v>
      </c>
      <c r="AA65" s="83" t="s">
        <v>865</v>
      </c>
      <c r="AB65" s="83" t="s">
        <v>855</v>
      </c>
      <c r="AC65" s="138" t="str">
        <f>IF(AD65="","",VLOOKUP(AD65,datos!$AT$6:$AU$9,2,0))</f>
        <v>Probabilidad</v>
      </c>
      <c r="AD65" s="135" t="s">
        <v>80</v>
      </c>
      <c r="AE65" s="135" t="s">
        <v>84</v>
      </c>
      <c r="AF65" s="92">
        <f>IF(AND(AD65="",AE65=""),"",IF(AD65="",0,VLOOKUP(AD65,datos!$AP$3:$AR$7,3,0))+IF(AE65="",0,VLOOKUP(AE65,datos!$AP$3:$AR$7,3,0)))</f>
        <v>0.4</v>
      </c>
      <c r="AG65" s="108" t="str">
        <f>IF(OR(AH65="",AH65=0),"",IF(AH65&lt;=datos!$AC$3,datos!$AE$3,IF(AH65&lt;=datos!$AC$4,datos!$AE$4,IF(AH65&lt;=datos!$AC$5,datos!$AE$5,IF(AH65&lt;=datos!$AC$6,datos!$AE$6,IF(AH65&lt;=datos!$AC$7,datos!$AE$7,""))))))</f>
        <v>Baja</v>
      </c>
      <c r="AH65" s="109">
        <f t="shared" si="11"/>
        <v>0.36</v>
      </c>
      <c r="AI65" s="144" t="str">
        <f>+IF(AJ65&lt;=datos!$AD$11,datos!$AC$11,IF(AJ65&lt;=datos!$AD$12,datos!$AC$12,IF(AJ65&lt;=datos!$AD$13,datos!$AC$13,IF(AJ65&lt;=datos!$AD$14,datos!$AC$14,IF(AJ65&lt;=datos!$AD$15,datos!$AC$15,"")))))</f>
        <v>Catastrófico</v>
      </c>
      <c r="AJ65" s="109">
        <f t="shared" si="12"/>
        <v>1</v>
      </c>
      <c r="AK65" s="144" t="str">
        <f ca="1" t="shared" si="13"/>
        <v>Extremo</v>
      </c>
      <c r="AL65" s="90" t="s">
        <v>92</v>
      </c>
      <c r="AM65" s="188" t="s">
        <v>866</v>
      </c>
      <c r="AN65" s="192" t="s">
        <v>849</v>
      </c>
      <c r="AO65" s="84" t="s">
        <v>857</v>
      </c>
      <c r="AP65" s="135"/>
      <c r="AQ65" s="235"/>
      <c r="AR65" s="237"/>
    </row>
    <row r="66" spans="1:44" ht="168.75" thickBot="1">
      <c r="A66" s="238">
        <v>39</v>
      </c>
      <c r="B66" s="240" t="s">
        <v>33</v>
      </c>
      <c r="C66" s="242" t="s">
        <v>267</v>
      </c>
      <c r="D66" s="244" t="s">
        <v>131</v>
      </c>
      <c r="E66" s="240" t="s">
        <v>54</v>
      </c>
      <c r="F66" s="240" t="s">
        <v>888</v>
      </c>
      <c r="G66" s="240" t="s">
        <v>844</v>
      </c>
      <c r="H66" s="240" t="s">
        <v>251</v>
      </c>
      <c r="I66" s="240" t="s">
        <v>845</v>
      </c>
      <c r="J66" s="242" t="s">
        <v>889</v>
      </c>
      <c r="K66" s="246" t="s">
        <v>197</v>
      </c>
      <c r="L66" s="248" t="s">
        <v>57</v>
      </c>
      <c r="M66" s="250">
        <f>365*24</f>
        <v>8760</v>
      </c>
      <c r="N66" s="252" t="str">
        <f>_xlfn.IFERROR(VLOOKUP(O66,datos!$AC$2:$AE$7,3,0),"")</f>
        <v>Muy Alta</v>
      </c>
      <c r="O66" s="254">
        <f>+IF(OR(M66="",M66=0),"",IF(M66&lt;=datos!$AD$3,datos!$AC$3,IF(AND(M66&gt;datos!$AD$3,M66&lt;=datos!$AD$4),datos!$AC$4,IF(AND(M66&gt;datos!$AD$4,M66&lt;=datos!$AD$5),datos!$AC$5,IF(AND(M66&gt;datos!$AD$5,M66&lt;=datos!$AD$6),datos!$AC$6,IF(M66&gt;datos!$AD$7,datos!$AC$7,0))))))</f>
        <v>1</v>
      </c>
      <c r="P66" s="256" t="str">
        <f>+HLOOKUP(A66,'Impacto Riesgo de Corrupción'!$D$5:$AS$26,22,0)</f>
        <v>Catastrófico</v>
      </c>
      <c r="Q66" s="254">
        <f>+IF(P66="","",VLOOKUP(P66,datos!$AC$12:$AD$15,2,0))</f>
        <v>1</v>
      </c>
      <c r="R66" s="258" t="str">
        <f ca="1">_xlfn.IFERROR(INDIRECT("datos!"&amp;HLOOKUP(P66,calculo_imp,2,FALSE)&amp;VLOOKUP(N66,calculo_prob,2,FALSE)),"")</f>
        <v>Extremo</v>
      </c>
      <c r="S66" s="94">
        <v>1</v>
      </c>
      <c r="T66" s="136" t="s">
        <v>890</v>
      </c>
      <c r="U66" s="83" t="s">
        <v>848</v>
      </c>
      <c r="V66" s="83" t="s">
        <v>849</v>
      </c>
      <c r="W66" s="85" t="s">
        <v>891</v>
      </c>
      <c r="X66" s="85" t="s">
        <v>892</v>
      </c>
      <c r="Y66" s="85" t="s">
        <v>893</v>
      </c>
      <c r="Z66" s="85" t="s">
        <v>894</v>
      </c>
      <c r="AA66" s="85" t="s">
        <v>895</v>
      </c>
      <c r="AB66" s="85" t="s">
        <v>896</v>
      </c>
      <c r="AC66" s="138" t="str">
        <f>IF(AD66="","",VLOOKUP(AD66,datos!$AT$6:$AU$9,2,0))</f>
        <v>Probabilidad</v>
      </c>
      <c r="AD66" s="135" t="s">
        <v>80</v>
      </c>
      <c r="AE66" s="135" t="s">
        <v>84</v>
      </c>
      <c r="AF66" s="92">
        <f>IF(AND(AD66="",AE66=""),"",IF(AD66="",0,VLOOKUP(AD66,datos!$AP$3:$AR$7,3,0))+IF(AE66="",0,VLOOKUP(AE66,datos!$AP$3:$AR$7,3,0)))</f>
        <v>0.4</v>
      </c>
      <c r="AG66" s="108" t="str">
        <f>IF(OR(AH66="",AH66=0),"",IF(AH66&lt;=datos!$AC$3,datos!$AE$3,IF(AH66&lt;=datos!$AC$4,datos!$AE$4,IF(AH66&lt;=datos!$AC$5,datos!$AE$5,IF(AH66&lt;=datos!$AC$6,datos!$AE$6,IF(AH66&lt;=datos!$AC$7,datos!$AE$7,""))))))</f>
        <v>Media</v>
      </c>
      <c r="AH66" s="109">
        <f t="shared" si="11"/>
        <v>0.6</v>
      </c>
      <c r="AI66" s="144" t="str">
        <f>+IF(AJ66&lt;=datos!$AD$11,datos!$AC$11,IF(AJ66&lt;=datos!$AD$12,datos!$AC$12,IF(AJ66&lt;=datos!$AD$13,datos!$AC$13,IF(AJ66&lt;=datos!$AD$14,datos!$AC$14,IF(AJ66&lt;=datos!$AD$15,datos!$AC$15,"")))))</f>
        <v>Catastrófico</v>
      </c>
      <c r="AJ66" s="109">
        <f t="shared" si="12"/>
        <v>1</v>
      </c>
      <c r="AK66" s="144" t="str">
        <f ca="1" t="shared" si="13"/>
        <v>Extremo</v>
      </c>
      <c r="AL66" s="89" t="s">
        <v>92</v>
      </c>
      <c r="AM66" s="188" t="s">
        <v>856</v>
      </c>
      <c r="AN66" s="192" t="s">
        <v>849</v>
      </c>
      <c r="AO66" s="84" t="s">
        <v>857</v>
      </c>
      <c r="AP66" s="136"/>
      <c r="AQ66" s="234" t="s">
        <v>897</v>
      </c>
      <c r="AR66" s="236">
        <v>0</v>
      </c>
    </row>
    <row r="67" spans="1:44" ht="204.75" thickBot="1">
      <c r="A67" s="239"/>
      <c r="B67" s="241"/>
      <c r="C67" s="243"/>
      <c r="D67" s="245"/>
      <c r="E67" s="241"/>
      <c r="F67" s="241"/>
      <c r="G67" s="241"/>
      <c r="H67" s="241"/>
      <c r="I67" s="241"/>
      <c r="J67" s="243"/>
      <c r="K67" s="247"/>
      <c r="L67" s="249"/>
      <c r="M67" s="251"/>
      <c r="N67" s="253"/>
      <c r="O67" s="255"/>
      <c r="P67" s="257"/>
      <c r="Q67" s="255" t="e">
        <f>IF(OR(#REF!=datos!$AB$10,#REF!=datos!$AB$16),"",VLOOKUP(#REF!,datos!$AA$10:$AC$21,3,0))</f>
        <v>#REF!</v>
      </c>
      <c r="R67" s="259"/>
      <c r="S67" s="96">
        <v>2</v>
      </c>
      <c r="T67" s="136" t="s">
        <v>898</v>
      </c>
      <c r="U67" s="85" t="s">
        <v>848</v>
      </c>
      <c r="V67" s="85" t="s">
        <v>849</v>
      </c>
      <c r="W67" s="85" t="s">
        <v>850</v>
      </c>
      <c r="X67" s="85" t="s">
        <v>851</v>
      </c>
      <c r="Y67" s="85" t="s">
        <v>852</v>
      </c>
      <c r="Z67" s="158" t="s">
        <v>853</v>
      </c>
      <c r="AA67" s="85" t="s">
        <v>854</v>
      </c>
      <c r="AB67" s="85" t="s">
        <v>855</v>
      </c>
      <c r="AC67" s="138" t="str">
        <f>IF(AD67="","",VLOOKUP(AD67,datos!$AT$6:$AU$9,2,0))</f>
        <v>Probabilidad</v>
      </c>
      <c r="AD67" s="135" t="s">
        <v>80</v>
      </c>
      <c r="AE67" s="135" t="s">
        <v>84</v>
      </c>
      <c r="AF67" s="92">
        <f>IF(AND(AD67="",AE67=""),"",IF(AD67="",0,VLOOKUP(AD67,datos!$AP$3:$AR$7,3,0))+IF(AE67="",0,VLOOKUP(AE67,datos!$AP$3:$AR$7,3,0)))</f>
        <v>0.4</v>
      </c>
      <c r="AG67" s="108" t="str">
        <f>IF(OR(AH67="",AH67=0),"",IF(AH67&lt;=datos!$AC$3,datos!$AE$3,IF(AH67&lt;=datos!$AC$4,datos!$AE$4,IF(AH67&lt;=datos!$AC$5,datos!$AE$5,IF(AH67&lt;=datos!$AC$6,datos!$AE$6,IF(AH67&lt;=datos!$AC$7,datos!$AE$7,""))))))</f>
        <v>Baja</v>
      </c>
      <c r="AH67" s="109">
        <f t="shared" si="11"/>
        <v>0.36</v>
      </c>
      <c r="AI67" s="144" t="str">
        <f>+IF(AJ67&lt;=datos!$AD$11,datos!$AC$11,IF(AJ67&lt;=datos!$AD$12,datos!$AC$12,IF(AJ67&lt;=datos!$AD$13,datos!$AC$13,IF(AJ67&lt;=datos!$AD$14,datos!$AC$14,IF(AJ67&lt;=datos!$AD$15,datos!$AC$15,"")))))</f>
        <v>Catastrófico</v>
      </c>
      <c r="AJ67" s="109">
        <f t="shared" si="12"/>
        <v>1</v>
      </c>
      <c r="AK67" s="144" t="str">
        <f ca="1" t="shared" si="13"/>
        <v>Extremo</v>
      </c>
      <c r="AL67" s="89" t="s">
        <v>92</v>
      </c>
      <c r="AM67" s="188" t="s">
        <v>856</v>
      </c>
      <c r="AN67" s="192" t="s">
        <v>849</v>
      </c>
      <c r="AO67" s="84" t="s">
        <v>857</v>
      </c>
      <c r="AP67" s="135"/>
      <c r="AQ67" s="235"/>
      <c r="AR67" s="237"/>
    </row>
    <row r="68" spans="1:44" ht="240.75" thickBot="1">
      <c r="A68" s="239"/>
      <c r="B68" s="241"/>
      <c r="C68" s="243"/>
      <c r="D68" s="245"/>
      <c r="E68" s="241"/>
      <c r="F68" s="241"/>
      <c r="G68" s="241"/>
      <c r="H68" s="241"/>
      <c r="I68" s="241"/>
      <c r="J68" s="243"/>
      <c r="K68" s="247"/>
      <c r="L68" s="249"/>
      <c r="M68" s="251"/>
      <c r="N68" s="253"/>
      <c r="O68" s="255"/>
      <c r="P68" s="257"/>
      <c r="Q68" s="255" t="e">
        <f>IF(OR(#REF!=datos!$AB$10,#REF!=datos!$AB$16),"",VLOOKUP(#REF!,datos!$AA$10:$AC$21,3,0))</f>
        <v>#REF!</v>
      </c>
      <c r="R68" s="259"/>
      <c r="S68" s="96">
        <v>3</v>
      </c>
      <c r="T68" s="136" t="s">
        <v>899</v>
      </c>
      <c r="U68" s="85" t="s">
        <v>848</v>
      </c>
      <c r="V68" s="83" t="s">
        <v>860</v>
      </c>
      <c r="W68" s="83" t="s">
        <v>900</v>
      </c>
      <c r="X68" s="83" t="s">
        <v>901</v>
      </c>
      <c r="Y68" s="83" t="s">
        <v>902</v>
      </c>
      <c r="Z68" s="159" t="s">
        <v>903</v>
      </c>
      <c r="AA68" s="83" t="s">
        <v>865</v>
      </c>
      <c r="AB68" s="85" t="s">
        <v>855</v>
      </c>
      <c r="AC68" s="138" t="str">
        <f>IF(AD68="","",VLOOKUP(AD68,datos!$AT$6:$AU$9,2,0))</f>
        <v>Probabilidad</v>
      </c>
      <c r="AD68" s="135" t="s">
        <v>80</v>
      </c>
      <c r="AE68" s="135" t="s">
        <v>84</v>
      </c>
      <c r="AF68" s="92">
        <f>IF(AND(AD68="",AE68=""),"",IF(AD68="",0,VLOOKUP(AD68,datos!$AP$3:$AR$7,3,0))+IF(AE68="",0,VLOOKUP(AE68,datos!$AP$3:$AR$7,3,0)))</f>
        <v>0.4</v>
      </c>
      <c r="AG68" s="108" t="str">
        <f>IF(OR(AH68="",AH68=0),"",IF(AH68&lt;=datos!$AC$3,datos!$AE$3,IF(AH68&lt;=datos!$AC$4,datos!$AE$4,IF(AH68&lt;=datos!$AC$5,datos!$AE$5,IF(AH68&lt;=datos!$AC$6,datos!$AE$6,IF(AH68&lt;=datos!$AC$7,datos!$AE$7,""))))))</f>
        <v>Baja</v>
      </c>
      <c r="AH68" s="109">
        <f t="shared" si="11"/>
        <v>0.216</v>
      </c>
      <c r="AI68" s="144" t="str">
        <f>+IF(AJ68&lt;=datos!$AD$11,datos!$AC$11,IF(AJ68&lt;=datos!$AD$12,datos!$AC$12,IF(AJ68&lt;=datos!$AD$13,datos!$AC$13,IF(AJ68&lt;=datos!$AD$14,datos!$AC$14,IF(AJ68&lt;=datos!$AD$15,datos!$AC$15,"")))))</f>
        <v>Catastrófico</v>
      </c>
      <c r="AJ68" s="109">
        <f t="shared" si="12"/>
        <v>1</v>
      </c>
      <c r="AK68" s="144" t="str">
        <f ca="1" t="shared" si="13"/>
        <v>Extremo</v>
      </c>
      <c r="AL68" s="89" t="s">
        <v>92</v>
      </c>
      <c r="AM68" s="188" t="s">
        <v>866</v>
      </c>
      <c r="AN68" s="192" t="s">
        <v>867</v>
      </c>
      <c r="AO68" s="84" t="s">
        <v>857</v>
      </c>
      <c r="AP68" s="135"/>
      <c r="AQ68" s="235"/>
      <c r="AR68" s="237"/>
    </row>
    <row r="69" spans="1:44" ht="84" customHeight="1">
      <c r="A69" s="230">
        <v>40</v>
      </c>
      <c r="B69" s="136" t="s">
        <v>35</v>
      </c>
      <c r="C69" s="136" t="s">
        <v>266</v>
      </c>
      <c r="D69" s="138" t="str">
        <f>_xlfn.IFERROR(VLOOKUP(B69,'[2]datos'!$B$1:$C$21,2,0),"")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69" s="136" t="s">
        <v>55</v>
      </c>
      <c r="F69" s="136" t="s">
        <v>904</v>
      </c>
      <c r="G69" s="136" t="s">
        <v>905</v>
      </c>
      <c r="H69" s="136" t="s">
        <v>252</v>
      </c>
      <c r="I69" s="136" t="s">
        <v>492</v>
      </c>
      <c r="J69" s="136" t="s">
        <v>906</v>
      </c>
      <c r="K69" s="148" t="s">
        <v>197</v>
      </c>
      <c r="L69" s="133" t="s">
        <v>57</v>
      </c>
      <c r="M69" s="229">
        <v>16000</v>
      </c>
      <c r="N69" s="143" t="str">
        <f>_xlfn.IFERROR(VLOOKUP(O69,datos!$AC$2:$AE$7,3,0),"")</f>
        <v>Muy Alta</v>
      </c>
      <c r="O69" s="131">
        <f>+IF(OR(M69="",M69=0),"",IF(M69&lt;=datos!$AD$3,datos!$AC$3,IF(AND(M69&gt;datos!$AD$3,M69&lt;=datos!$AD$4),datos!$AC$4,IF(AND(M69&gt;datos!$AD$4,M69&lt;=datos!$AD$5),datos!$AC$5,IF(AND(M69&gt;datos!$AD$5,M69&lt;=datos!$AD$6),datos!$AC$6,IF(M69&gt;datos!$AD$7,datos!$AC$7,0))))))</f>
        <v>1</v>
      </c>
      <c r="P69" s="145" t="str">
        <f>+HLOOKUP(A69,'Impacto Riesgo de Corrupción'!$D$5:$AS$26,22,0)</f>
        <v>Catastrófico</v>
      </c>
      <c r="Q69" s="131">
        <f>+IF(P69="","",VLOOKUP(P69,datos!$AC$12:$AD$15,2,0))</f>
        <v>1</v>
      </c>
      <c r="R69" s="142" t="str">
        <f ca="1">_xlfn.IFERROR(INDIRECT("datos!"&amp;HLOOKUP(P69,calculo_imp,2,FALSE)&amp;VLOOKUP(N69,calculo_prob,2,FALSE)),"")</f>
        <v>Extremo</v>
      </c>
      <c r="S69" s="94">
        <v>1</v>
      </c>
      <c r="T69" s="136" t="s">
        <v>907</v>
      </c>
      <c r="U69" s="206" t="s">
        <v>908</v>
      </c>
      <c r="V69" s="160" t="s">
        <v>701</v>
      </c>
      <c r="W69" s="160" t="s">
        <v>909</v>
      </c>
      <c r="X69" s="206" t="s">
        <v>910</v>
      </c>
      <c r="Y69" s="206" t="s">
        <v>911</v>
      </c>
      <c r="Z69" s="160" t="s">
        <v>912</v>
      </c>
      <c r="AA69" s="228" t="s">
        <v>913</v>
      </c>
      <c r="AB69" s="158" t="s">
        <v>914</v>
      </c>
      <c r="AC69" s="138" t="str">
        <f>IF(AD69="","",VLOOKUP(AD69,datos!$AT$6:$AU$9,2,0))</f>
        <v>Probabilidad</v>
      </c>
      <c r="AD69" s="136" t="s">
        <v>81</v>
      </c>
      <c r="AE69" s="136" t="s">
        <v>84</v>
      </c>
      <c r="AF69" s="92">
        <f>IF(AND(AD69="",AE69=""),"",IF(AD69="",0,VLOOKUP(AD69,datos!$AP$3:$AR$7,3,0))+IF(AE69="",0,VLOOKUP(AE69,datos!$AP$3:$AR$7,3,0)))</f>
        <v>0.3</v>
      </c>
      <c r="AG69" s="108" t="str">
        <f>IF(OR(AH69="",AH69=0),"",IF(AH69&lt;=datos!$AC$3,datos!$AE$3,IF(AH69&lt;=datos!$AC$4,datos!$AE$4,IF(AH69&lt;=datos!$AC$5,datos!$AE$5,IF(AH69&lt;=datos!$AC$6,datos!$AE$6,IF(AH69&lt;=datos!$AC$7,datos!$AE$7,""))))))</f>
        <v>Alta</v>
      </c>
      <c r="AH69" s="109">
        <f>IF(AC69="","",IF(S69=1,IF(AC69="Probabilidad",O69-(O69*AF69),O69),IF(AC69="Probabilidad",AH68-(AH68*AF69),AH68)))</f>
        <v>0.7</v>
      </c>
      <c r="AI69" s="144" t="str">
        <f>+IF(AJ69&lt;=datos!$AD$11,datos!$AC$11,IF(AJ69&lt;=datos!$AD$12,datos!$AC$12,IF(AJ69&lt;=datos!$AD$13,datos!$AC$13,IF(AJ69&lt;=datos!$AD$14,datos!$AC$14,IF(AJ69&lt;=datos!$AD$15,datos!$AC$15,"")))))</f>
        <v>Catastrófico</v>
      </c>
      <c r="AJ69" s="109">
        <f>IF(AC69="","",IF(S69=1,IF(AC69="Impacto",Q69-(Q69*AF69),Q69),IF(AC69="Impacto",AJ68-(AJ68*AF69),AJ68)))</f>
        <v>1</v>
      </c>
      <c r="AK69" s="144" t="str">
        <f ca="1">_xlfn.IFERROR(INDIRECT("datos!"&amp;HLOOKUP(AI69,calculo_imp,2,FALSE)&amp;VLOOKUP(AG69,calculo_prob,2,FALSE)),"")</f>
        <v>Extremo</v>
      </c>
      <c r="AL69" s="89" t="s">
        <v>26</v>
      </c>
      <c r="AM69" s="141"/>
      <c r="AN69" s="86"/>
      <c r="AO69" s="86"/>
      <c r="AP69" s="136"/>
      <c r="AQ69" s="146" t="s">
        <v>915</v>
      </c>
      <c r="AR69" s="147">
        <v>0</v>
      </c>
    </row>
  </sheetData>
  <sheetProtection sheet="1" objects="1" scenarios="1" formatCells="0" formatColumns="0" formatRows="0" insertColumns="0" insertRows="0" insertHyperlinks="0" deleteColumns="0" deleteRows="0" sort="0" autoFilter="0" pivotTables="0"/>
  <protectedRanges>
    <protectedRange sqref="U56:Z56" name="Rango2_10"/>
    <protectedRange sqref="U57:Z57" name="Rango2_10_1"/>
    <protectedRange sqref="U58:Z58" name="Rango2_10_2"/>
    <protectedRange sqref="U59:Z59" name="Rango2_10_3"/>
  </protectedRanges>
  <mergeCells count="368">
    <mergeCell ref="AB5:AB6"/>
    <mergeCell ref="H5:I5"/>
    <mergeCell ref="AR4:AR6"/>
    <mergeCell ref="AM4:AQ4"/>
    <mergeCell ref="AN5:AN6"/>
    <mergeCell ref="AO5:AO6"/>
    <mergeCell ref="AP5:AP6"/>
    <mergeCell ref="AQ5:AQ6"/>
    <mergeCell ref="AM5:AM6"/>
    <mergeCell ref="AA1:AQ1"/>
    <mergeCell ref="A4:L4"/>
    <mergeCell ref="M4:R4"/>
    <mergeCell ref="S4:AF4"/>
    <mergeCell ref="AG4:AL4"/>
    <mergeCell ref="F5:F6"/>
    <mergeCell ref="G5:G6"/>
    <mergeCell ref="J5:J6"/>
    <mergeCell ref="L5:L6"/>
    <mergeCell ref="AI5:AI6"/>
    <mergeCell ref="AJ5:AJ6"/>
    <mergeCell ref="AK5:AK6"/>
    <mergeCell ref="AL5:AL6"/>
    <mergeCell ref="S5:S6"/>
    <mergeCell ref="AC5:AC6"/>
    <mergeCell ref="AD5:AF5"/>
    <mergeCell ref="AG5:AG6"/>
    <mergeCell ref="AH5:AH6"/>
    <mergeCell ref="U5:AA5"/>
    <mergeCell ref="K5:K6"/>
    <mergeCell ref="O5:O6"/>
    <mergeCell ref="N5:N6"/>
    <mergeCell ref="P5:P6"/>
    <mergeCell ref="Q5:Q6"/>
    <mergeCell ref="L8:L11"/>
    <mergeCell ref="M8:M11"/>
    <mergeCell ref="N8:N11"/>
    <mergeCell ref="O8:O11"/>
    <mergeCell ref="P8:P11"/>
    <mergeCell ref="Q8:Q11"/>
    <mergeCell ref="R8:R11"/>
    <mergeCell ref="R12:R13"/>
    <mergeCell ref="Q16:Q18"/>
    <mergeCell ref="R16:R18"/>
    <mergeCell ref="A1:B1"/>
    <mergeCell ref="C1:Z1"/>
    <mergeCell ref="M5:M6"/>
    <mergeCell ref="A5:A6"/>
    <mergeCell ref="B5:B6"/>
    <mergeCell ref="C5:C6"/>
    <mergeCell ref="D5:D6"/>
    <mergeCell ref="E5:E6"/>
    <mergeCell ref="R5:R6"/>
    <mergeCell ref="C44:C45"/>
    <mergeCell ref="D44:D45"/>
    <mergeCell ref="E44:E45"/>
    <mergeCell ref="F44:F45"/>
    <mergeCell ref="G44:G45"/>
    <mergeCell ref="H44:H45"/>
    <mergeCell ref="I44:I45"/>
    <mergeCell ref="I46:I47"/>
    <mergeCell ref="A8:A11"/>
    <mergeCell ref="B8:B11"/>
    <mergeCell ref="H8:H11"/>
    <mergeCell ref="I8:I11"/>
    <mergeCell ref="C31:C32"/>
    <mergeCell ref="D31:D32"/>
    <mergeCell ref="E31:E32"/>
    <mergeCell ref="F31:F32"/>
    <mergeCell ref="G31:G32"/>
    <mergeCell ref="H31:H32"/>
    <mergeCell ref="I31:I32"/>
    <mergeCell ref="AQ8:AQ11"/>
    <mergeCell ref="AR8:AR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C8:C11"/>
    <mergeCell ref="D8:D11"/>
    <mergeCell ref="E8:E11"/>
    <mergeCell ref="F8:F11"/>
    <mergeCell ref="G8:G11"/>
    <mergeCell ref="AQ12:AQ13"/>
    <mergeCell ref="AR12:AR13"/>
    <mergeCell ref="J8:J11"/>
    <mergeCell ref="K8:K11"/>
    <mergeCell ref="A16:A18"/>
    <mergeCell ref="B16:B18"/>
    <mergeCell ref="C16:C18"/>
    <mergeCell ref="D16:D18"/>
    <mergeCell ref="E16:E18"/>
    <mergeCell ref="F16:F18"/>
    <mergeCell ref="G16:G18"/>
    <mergeCell ref="H16:H18"/>
    <mergeCell ref="I16:I18"/>
    <mergeCell ref="AM16:AM18"/>
    <mergeCell ref="AN16:AN18"/>
    <mergeCell ref="AQ16:AQ18"/>
    <mergeCell ref="AR16:AR18"/>
    <mergeCell ref="J16:J18"/>
    <mergeCell ref="K16:K18"/>
    <mergeCell ref="L16:L18"/>
    <mergeCell ref="M16:M18"/>
    <mergeCell ref="N16:N18"/>
    <mergeCell ref="O16:O18"/>
    <mergeCell ref="P16:P18"/>
    <mergeCell ref="AR28:AR29"/>
    <mergeCell ref="A31:A32"/>
    <mergeCell ref="B31:B32"/>
    <mergeCell ref="A21:A23"/>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Q21:Q23"/>
    <mergeCell ref="R21:R23"/>
    <mergeCell ref="AQ21:AQ23"/>
    <mergeCell ref="AR21:AR23"/>
    <mergeCell ref="M28:M29"/>
    <mergeCell ref="AL28:AL29"/>
    <mergeCell ref="AM28:AM29"/>
    <mergeCell ref="AQ28:AQ29"/>
    <mergeCell ref="A28:A29"/>
    <mergeCell ref="B28:B29"/>
    <mergeCell ref="C28:C29"/>
    <mergeCell ref="D28:D29"/>
    <mergeCell ref="E28:E29"/>
    <mergeCell ref="F28:F29"/>
    <mergeCell ref="J28:J29"/>
    <mergeCell ref="K28:K29"/>
    <mergeCell ref="L28:L29"/>
    <mergeCell ref="N28:N29"/>
    <mergeCell ref="O28:O29"/>
    <mergeCell ref="L31:L32"/>
    <mergeCell ref="M31:M32"/>
    <mergeCell ref="N31:N32"/>
    <mergeCell ref="O31:O32"/>
    <mergeCell ref="P31:P32"/>
    <mergeCell ref="Q31:Q32"/>
    <mergeCell ref="R31:R32"/>
    <mergeCell ref="P28:P29"/>
    <mergeCell ref="Q28:Q29"/>
    <mergeCell ref="R28:R29"/>
    <mergeCell ref="AQ31:AQ32"/>
    <mergeCell ref="AR31:AR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AQ33:AQ34"/>
    <mergeCell ref="AR33:AR34"/>
    <mergeCell ref="J31:J32"/>
    <mergeCell ref="K31:K32"/>
    <mergeCell ref="A39:A40"/>
    <mergeCell ref="B39:B40"/>
    <mergeCell ref="C39:C40"/>
    <mergeCell ref="D39:D40"/>
    <mergeCell ref="E39:E40"/>
    <mergeCell ref="F39:F40"/>
    <mergeCell ref="G39:G40"/>
    <mergeCell ref="H39:H40"/>
    <mergeCell ref="I39:I40"/>
    <mergeCell ref="J39:J40"/>
    <mergeCell ref="K39:K40"/>
    <mergeCell ref="L39:L40"/>
    <mergeCell ref="M39:M40"/>
    <mergeCell ref="N39:N40"/>
    <mergeCell ref="O39:O40"/>
    <mergeCell ref="P39:P40"/>
    <mergeCell ref="Q39:Q40"/>
    <mergeCell ref="R39:R40"/>
    <mergeCell ref="AQ39:AQ40"/>
    <mergeCell ref="AR39:AR40"/>
    <mergeCell ref="AQ44:AQ45"/>
    <mergeCell ref="AR44:AR45"/>
    <mergeCell ref="A46:A47"/>
    <mergeCell ref="B46:B47"/>
    <mergeCell ref="R46:R47"/>
    <mergeCell ref="C46:C47"/>
    <mergeCell ref="D46:D47"/>
    <mergeCell ref="E46:E47"/>
    <mergeCell ref="F46:F47"/>
    <mergeCell ref="G46:G47"/>
    <mergeCell ref="H46:H47"/>
    <mergeCell ref="J44:J45"/>
    <mergeCell ref="K44:K45"/>
    <mergeCell ref="L44:L45"/>
    <mergeCell ref="M44:M45"/>
    <mergeCell ref="N44:N45"/>
    <mergeCell ref="O44:O45"/>
    <mergeCell ref="P44:P45"/>
    <mergeCell ref="Q44:Q45"/>
    <mergeCell ref="R44:R45"/>
    <mergeCell ref="A44:A45"/>
    <mergeCell ref="B44:B45"/>
    <mergeCell ref="J46:J47"/>
    <mergeCell ref="K46:K47"/>
    <mergeCell ref="L46:L47"/>
    <mergeCell ref="M46:M47"/>
    <mergeCell ref="N46:N47"/>
    <mergeCell ref="O46:O47"/>
    <mergeCell ref="P46:P47"/>
    <mergeCell ref="Q46:Q47"/>
    <mergeCell ref="AA46:AA47"/>
    <mergeCell ref="AB46:AB47"/>
    <mergeCell ref="AM46:AM47"/>
    <mergeCell ref="AN46:AN47"/>
    <mergeCell ref="AO46:AO47"/>
    <mergeCell ref="AP46:AP47"/>
    <mergeCell ref="AQ46:AQ47"/>
    <mergeCell ref="AR46:AR47"/>
    <mergeCell ref="A48:A50"/>
    <mergeCell ref="B48:B50"/>
    <mergeCell ref="C48:C50"/>
    <mergeCell ref="D48:D50"/>
    <mergeCell ref="E48:E50"/>
    <mergeCell ref="F48:F50"/>
    <mergeCell ref="G48:G50"/>
    <mergeCell ref="H48:H50"/>
    <mergeCell ref="I48:I50"/>
    <mergeCell ref="J48:J50"/>
    <mergeCell ref="K48:K50"/>
    <mergeCell ref="L48:L50"/>
    <mergeCell ref="M48:M50"/>
    <mergeCell ref="N48:N50"/>
    <mergeCell ref="O48:O50"/>
    <mergeCell ref="P48:P50"/>
    <mergeCell ref="Q48:Q50"/>
    <mergeCell ref="R48:R50"/>
    <mergeCell ref="AQ48:AQ50"/>
    <mergeCell ref="AR48:AR50"/>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R52:R53"/>
    <mergeCell ref="AQ52:AQ53"/>
    <mergeCell ref="AR52:AR53"/>
    <mergeCell ref="M54:M55"/>
    <mergeCell ref="N54:N55"/>
    <mergeCell ref="O54:O55"/>
    <mergeCell ref="P54:P55"/>
    <mergeCell ref="Q54:Q55"/>
    <mergeCell ref="R54:R55"/>
    <mergeCell ref="A54:A55"/>
    <mergeCell ref="B54:B55"/>
    <mergeCell ref="C54:C55"/>
    <mergeCell ref="D54:D55"/>
    <mergeCell ref="E54:E55"/>
    <mergeCell ref="F54:F55"/>
    <mergeCell ref="G54:G55"/>
    <mergeCell ref="H54:H55"/>
    <mergeCell ref="I54:I55"/>
    <mergeCell ref="AR54:AR55"/>
    <mergeCell ref="A61:A63"/>
    <mergeCell ref="B61:B63"/>
    <mergeCell ref="C61:C63"/>
    <mergeCell ref="D61:D63"/>
    <mergeCell ref="E61:E63"/>
    <mergeCell ref="F61:F63"/>
    <mergeCell ref="G61:G63"/>
    <mergeCell ref="H61:H63"/>
    <mergeCell ref="I61:I63"/>
    <mergeCell ref="J61:J63"/>
    <mergeCell ref="K61:K63"/>
    <mergeCell ref="L61:L63"/>
    <mergeCell ref="M61:M63"/>
    <mergeCell ref="N61:N63"/>
    <mergeCell ref="O61:O63"/>
    <mergeCell ref="P61:P63"/>
    <mergeCell ref="Q61:Q63"/>
    <mergeCell ref="R61:R63"/>
    <mergeCell ref="AQ61:AQ63"/>
    <mergeCell ref="AR61:AR63"/>
    <mergeCell ref="J54:J55"/>
    <mergeCell ref="K54:K55"/>
    <mergeCell ref="L54:L55"/>
    <mergeCell ref="L64:L65"/>
    <mergeCell ref="M64:M65"/>
    <mergeCell ref="N64:N65"/>
    <mergeCell ref="O64:O65"/>
    <mergeCell ref="P64:P65"/>
    <mergeCell ref="Q64:Q65"/>
    <mergeCell ref="R64:R65"/>
    <mergeCell ref="A64:A65"/>
    <mergeCell ref="B64:B65"/>
    <mergeCell ref="C64:C65"/>
    <mergeCell ref="D64:D65"/>
    <mergeCell ref="E64:E65"/>
    <mergeCell ref="F64:F65"/>
    <mergeCell ref="G64:G65"/>
    <mergeCell ref="H64:H65"/>
    <mergeCell ref="I64:I65"/>
    <mergeCell ref="AQ64:AQ65"/>
    <mergeCell ref="AR64:AR65"/>
    <mergeCell ref="A66:A68"/>
    <mergeCell ref="B66:B68"/>
    <mergeCell ref="C66:C68"/>
    <mergeCell ref="D66:D68"/>
    <mergeCell ref="E66:E68"/>
    <mergeCell ref="F66:F68"/>
    <mergeCell ref="G66:G68"/>
    <mergeCell ref="H66:H68"/>
    <mergeCell ref="I66:I68"/>
    <mergeCell ref="J66:J68"/>
    <mergeCell ref="K66:K68"/>
    <mergeCell ref="L66:L68"/>
    <mergeCell ref="M66:M68"/>
    <mergeCell ref="N66:N68"/>
    <mergeCell ref="O66:O68"/>
    <mergeCell ref="P66:P68"/>
    <mergeCell ref="Q66:Q68"/>
    <mergeCell ref="R66:R68"/>
    <mergeCell ref="AQ66:AQ68"/>
    <mergeCell ref="AR66:AR68"/>
    <mergeCell ref="J64:J65"/>
    <mergeCell ref="K64:K65"/>
  </mergeCells>
  <conditionalFormatting sqref="W8:W11">
    <cfRule type="expression" priority="2716" dxfId="1451" stopIfTrue="1">
      <formula>$M8="Aceptar"</formula>
    </cfRule>
  </conditionalFormatting>
  <conditionalFormatting sqref="X8:X11">
    <cfRule type="expression" priority="2715" dxfId="1451" stopIfTrue="1">
      <formula>$M8="Aceptar"</formula>
    </cfRule>
  </conditionalFormatting>
  <conditionalFormatting sqref="Y8:Y11">
    <cfRule type="expression" priority="2714" dxfId="1451" stopIfTrue="1">
      <formula>$M8="Aceptar"</formula>
    </cfRule>
  </conditionalFormatting>
  <conditionalFormatting sqref="Z8:Z11">
    <cfRule type="expression" priority="2713" dxfId="1451" stopIfTrue="1">
      <formula>$M8="Aceptar"</formula>
    </cfRule>
  </conditionalFormatting>
  <conditionalFormatting sqref="U8:U11">
    <cfRule type="expression" priority="2712" dxfId="1451" stopIfTrue="1">
      <formula>$M8="Aceptar"</formula>
    </cfRule>
  </conditionalFormatting>
  <conditionalFormatting sqref="V8:V11">
    <cfRule type="expression" priority="2711" dxfId="1451" stopIfTrue="1">
      <formula>$M8="Aceptar"</formula>
    </cfRule>
  </conditionalFormatting>
  <conditionalFormatting sqref="U12:U13">
    <cfRule type="expression" priority="2710" dxfId="1451" stopIfTrue="1">
      <formula>$M12="Aceptar"</formula>
    </cfRule>
  </conditionalFormatting>
  <conditionalFormatting sqref="V12:V13">
    <cfRule type="expression" priority="2709" dxfId="1451" stopIfTrue="1">
      <formula>$M12="Aceptar"</formula>
    </cfRule>
  </conditionalFormatting>
  <conditionalFormatting sqref="W12:W13">
    <cfRule type="expression" priority="2708" dxfId="1451" stopIfTrue="1">
      <formula>$M12="Aceptar"</formula>
    </cfRule>
  </conditionalFormatting>
  <conditionalFormatting sqref="X12:X13">
    <cfRule type="expression" priority="2707" dxfId="1451" stopIfTrue="1">
      <formula>$M12="Aceptar"</formula>
    </cfRule>
  </conditionalFormatting>
  <conditionalFormatting sqref="Y12:Y13">
    <cfRule type="expression" priority="2706" dxfId="1451" stopIfTrue="1">
      <formula>$M12="Aceptar"</formula>
    </cfRule>
  </conditionalFormatting>
  <conditionalFormatting sqref="Z12:Z13">
    <cfRule type="expression" priority="2705" dxfId="1451" stopIfTrue="1">
      <formula>$M12="Aceptar"</formula>
    </cfRule>
  </conditionalFormatting>
  <conditionalFormatting sqref="AA13">
    <cfRule type="expression" priority="2704" dxfId="1451" stopIfTrue="1">
      <formula>$M13="Aceptar"</formula>
    </cfRule>
  </conditionalFormatting>
  <conditionalFormatting sqref="V16:Y18">
    <cfRule type="expression" priority="2467" dxfId="1451" stopIfTrue="1">
      <formula>$M16="Aceptar"</formula>
    </cfRule>
  </conditionalFormatting>
  <conditionalFormatting sqref="AA16:AA18">
    <cfRule type="expression" priority="2466" dxfId="1451" stopIfTrue="1">
      <formula>$M16="Aceptar"</formula>
    </cfRule>
  </conditionalFormatting>
  <conditionalFormatting sqref="U21">
    <cfRule type="expression" priority="2027" dxfId="1451" stopIfTrue="1">
      <formula>$M21="Aceptar"</formula>
    </cfRule>
  </conditionalFormatting>
  <conditionalFormatting sqref="V21:Z21">
    <cfRule type="expression" priority="2026" dxfId="1451" stopIfTrue="1">
      <formula>$M21="Aceptar"</formula>
    </cfRule>
  </conditionalFormatting>
  <conditionalFormatting sqref="U22:Z22">
    <cfRule type="expression" priority="2025" dxfId="1451" stopIfTrue="1">
      <formula>$M22="Aceptar"</formula>
    </cfRule>
  </conditionalFormatting>
  <conditionalFormatting sqref="U23:Z23">
    <cfRule type="expression" priority="2024" dxfId="1451" stopIfTrue="1">
      <formula>$M23="Aceptar"</formula>
    </cfRule>
  </conditionalFormatting>
  <conditionalFormatting sqref="U24:Z24">
    <cfRule type="expression" priority="2023" dxfId="1451" stopIfTrue="1">
      <formula>$M24="Aceptar"</formula>
    </cfRule>
  </conditionalFormatting>
  <conditionalFormatting sqref="U25:Z25">
    <cfRule type="expression" priority="2022" dxfId="1451" stopIfTrue="1">
      <formula>$M25="Aceptar"</formula>
    </cfRule>
  </conditionalFormatting>
  <conditionalFormatting sqref="U26:Z26">
    <cfRule type="expression" priority="2021" dxfId="1451" stopIfTrue="1">
      <formula>$M26="Aceptar"</formula>
    </cfRule>
  </conditionalFormatting>
  <conditionalFormatting sqref="Z32">
    <cfRule type="expression" priority="1666" dxfId="1451" stopIfTrue="1">
      <formula>$M32="Aceptar"</formula>
    </cfRule>
  </conditionalFormatting>
  <conditionalFormatting sqref="U33:Z34">
    <cfRule type="expression" priority="1577" dxfId="1451" stopIfTrue="1">
      <formula>$M33="Aceptar"</formula>
    </cfRule>
  </conditionalFormatting>
  <conditionalFormatting sqref="AA33:AA34">
    <cfRule type="expression" priority="1576" dxfId="1451" stopIfTrue="1">
      <formula>$M33="Aceptar"</formula>
    </cfRule>
  </conditionalFormatting>
  <conditionalFormatting sqref="W39">
    <cfRule type="expression" priority="1287" dxfId="1451" stopIfTrue="1">
      <formula>$M39="Aceptar"</formula>
    </cfRule>
  </conditionalFormatting>
  <conditionalFormatting sqref="V41">
    <cfRule type="expression" priority="1207" dxfId="1451" stopIfTrue="1">
      <formula>$M41="Aceptar"</formula>
    </cfRule>
  </conditionalFormatting>
  <conditionalFormatting sqref="W41:Z41">
    <cfRule type="expression" priority="1206" dxfId="1451" stopIfTrue="1">
      <formula>$M41="Aceptar"</formula>
    </cfRule>
  </conditionalFormatting>
  <conditionalFormatting sqref="W42">
    <cfRule type="expression" priority="1205" dxfId="1451" stopIfTrue="1">
      <formula>$M42="Aceptar"</formula>
    </cfRule>
  </conditionalFormatting>
  <conditionalFormatting sqref="X42:AA42">
    <cfRule type="expression" priority="1204" dxfId="1451" stopIfTrue="1">
      <formula>$M42="Aceptar"</formula>
    </cfRule>
  </conditionalFormatting>
  <conditionalFormatting sqref="T41">
    <cfRule type="expression" priority="1189" dxfId="1451" stopIfTrue="1">
      <formula>$M41="Aceptar"</formula>
    </cfRule>
  </conditionalFormatting>
  <conditionalFormatting sqref="T42">
    <cfRule type="expression" priority="1188" dxfId="1451" stopIfTrue="1">
      <formula>$M42="Aceptar"</formula>
    </cfRule>
  </conditionalFormatting>
  <conditionalFormatting sqref="AM41:AP41">
    <cfRule type="expression" priority="1187" dxfId="1451" stopIfTrue="1">
      <formula>$M41="Aceptar"</formula>
    </cfRule>
  </conditionalFormatting>
  <conditionalFormatting sqref="AM42:AP42">
    <cfRule type="expression" priority="1186" dxfId="1451" stopIfTrue="1">
      <formula>$M42="Aceptar"</formula>
    </cfRule>
  </conditionalFormatting>
  <conditionalFormatting sqref="U46:Z47">
    <cfRule type="expression" priority="935" dxfId="1451" stopIfTrue="1">
      <formula>$M46="Aceptar"</formula>
    </cfRule>
  </conditionalFormatting>
  <conditionalFormatting sqref="U56:Z56">
    <cfRule type="expression" priority="642" dxfId="1451" stopIfTrue="1">
      <formula>$M56="Aceptar"</formula>
    </cfRule>
  </conditionalFormatting>
  <conditionalFormatting sqref="U57:Z57">
    <cfRule type="expression" priority="641" dxfId="1451" stopIfTrue="1">
      <formula>$M57="Aceptar"</formula>
    </cfRule>
  </conditionalFormatting>
  <conditionalFormatting sqref="U58:Z58">
    <cfRule type="expression" priority="640" dxfId="1451" stopIfTrue="1">
      <formula>$M58="Aceptar"</formula>
    </cfRule>
  </conditionalFormatting>
  <conditionalFormatting sqref="U59:Z59">
    <cfRule type="expression" priority="639" dxfId="1451" stopIfTrue="1">
      <formula>$M59="Aceptar"</formula>
    </cfRule>
  </conditionalFormatting>
  <conditionalFormatting sqref="U69 W69:Z69">
    <cfRule type="expression" priority="30" dxfId="1451" stopIfTrue="1">
      <formula>$M69="Aceptar"</formula>
    </cfRule>
  </conditionalFormatting>
  <conditionalFormatting sqref="V69">
    <cfRule type="expression" priority="29" dxfId="1451" stopIfTrue="1">
      <formula>$M69="Aceptar"</formula>
    </cfRule>
  </conditionalFormatting>
  <printOptions/>
  <pageMargins left="0.7" right="0.7" top="0.75" bottom="0.75" header="0.3" footer="0.3"/>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BA38"/>
  <sheetViews>
    <sheetView zoomScale="70" zoomScaleNormal="70" zoomScalePageLayoutView="0" workbookViewId="0" topLeftCell="A1">
      <selection activeCell="AQ11" sqref="AQ11"/>
    </sheetView>
  </sheetViews>
  <sheetFormatPr defaultColWidth="11.421875" defaultRowHeight="15"/>
  <cols>
    <col min="1" max="1" width="9.140625" style="93" customWidth="1"/>
    <col min="2" max="2" width="13.00390625" style="93" customWidth="1"/>
    <col min="3" max="3" width="81.28125" style="93" customWidth="1"/>
    <col min="4" max="4" width="11.7109375" style="93" customWidth="1"/>
    <col min="5" max="7" width="11.421875" style="93" customWidth="1"/>
    <col min="8" max="8" width="13.140625" style="93" customWidth="1"/>
    <col min="9" max="9" width="14.8515625" style="93" bestFit="1" customWidth="1"/>
    <col min="10" max="16384" width="11.421875" style="93" customWidth="1"/>
  </cols>
  <sheetData>
    <row r="1" spans="1:53" ht="79.5" customHeight="1">
      <c r="A1" s="315"/>
      <c r="B1" s="315"/>
      <c r="C1" s="370" t="s">
        <v>227</v>
      </c>
      <c r="D1" s="371"/>
      <c r="E1" s="371"/>
      <c r="F1" s="371"/>
      <c r="G1" s="371"/>
      <c r="H1" s="371"/>
      <c r="I1" s="371"/>
      <c r="J1" s="372"/>
      <c r="K1" s="327" t="s">
        <v>226</v>
      </c>
      <c r="L1" s="328"/>
      <c r="M1" s="329"/>
      <c r="N1" s="369"/>
      <c r="O1" s="36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row>
    <row r="2" ht="15.75" thickBot="1"/>
    <row r="3" spans="3:53" ht="28.5" customHeight="1" thickBot="1">
      <c r="C3" s="373" t="s">
        <v>191</v>
      </c>
      <c r="D3" s="374"/>
      <c r="E3" s="374"/>
      <c r="F3" s="374"/>
      <c r="G3" s="374"/>
      <c r="H3" s="374"/>
      <c r="I3" s="374"/>
      <c r="J3" s="374"/>
      <c r="K3" s="374"/>
      <c r="L3" s="374"/>
      <c r="M3" s="374"/>
      <c r="N3" s="374"/>
      <c r="O3" s="375"/>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row>
    <row r="4" spans="3:53" ht="18.75" customHeight="1" thickBot="1">
      <c r="C4" s="115" t="s">
        <v>100</v>
      </c>
      <c r="D4" s="360" t="s">
        <v>248</v>
      </c>
      <c r="E4" s="361"/>
      <c r="F4" s="361"/>
      <c r="G4" s="361"/>
      <c r="H4" s="361"/>
      <c r="I4" s="361"/>
      <c r="J4" s="361"/>
      <c r="K4" s="361"/>
      <c r="L4" s="361"/>
      <c r="M4" s="361"/>
      <c r="N4" s="361"/>
      <c r="O4" s="362"/>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row>
    <row r="5" spans="3:53" ht="43.5" thickBot="1">
      <c r="C5" s="116" t="s">
        <v>253</v>
      </c>
      <c r="D5" s="117">
        <v>1</v>
      </c>
      <c r="E5" s="117">
        <v>2</v>
      </c>
      <c r="F5" s="117">
        <v>3</v>
      </c>
      <c r="G5" s="117">
        <v>4</v>
      </c>
      <c r="H5" s="117">
        <v>5</v>
      </c>
      <c r="I5" s="117">
        <v>6</v>
      </c>
      <c r="J5" s="117">
        <v>7</v>
      </c>
      <c r="K5" s="117">
        <v>8</v>
      </c>
      <c r="L5" s="117">
        <v>9</v>
      </c>
      <c r="M5" s="117">
        <v>10</v>
      </c>
      <c r="N5" s="117">
        <v>11</v>
      </c>
      <c r="O5" s="117">
        <v>12</v>
      </c>
      <c r="P5" s="117">
        <v>13</v>
      </c>
      <c r="Q5" s="117">
        <v>14</v>
      </c>
      <c r="R5" s="117">
        <v>15</v>
      </c>
      <c r="S5" s="117">
        <v>16</v>
      </c>
      <c r="T5" s="117">
        <v>17</v>
      </c>
      <c r="U5" s="117">
        <v>18</v>
      </c>
      <c r="V5" s="117">
        <v>19</v>
      </c>
      <c r="W5" s="117">
        <v>20</v>
      </c>
      <c r="X5" s="117">
        <v>21</v>
      </c>
      <c r="Y5" s="117">
        <v>22</v>
      </c>
      <c r="Z5" s="117">
        <v>23</v>
      </c>
      <c r="AA5" s="117">
        <v>24</v>
      </c>
      <c r="AB5" s="117">
        <v>25</v>
      </c>
      <c r="AC5" s="117">
        <v>26</v>
      </c>
      <c r="AD5" s="117">
        <v>27</v>
      </c>
      <c r="AE5" s="117">
        <v>28</v>
      </c>
      <c r="AF5" s="117">
        <v>29</v>
      </c>
      <c r="AG5" s="117">
        <v>30</v>
      </c>
      <c r="AH5" s="117">
        <v>31</v>
      </c>
      <c r="AI5" s="117">
        <v>32</v>
      </c>
      <c r="AJ5" s="117">
        <v>33</v>
      </c>
      <c r="AK5" s="117">
        <v>34</v>
      </c>
      <c r="AL5" s="117">
        <v>35</v>
      </c>
      <c r="AM5" s="117">
        <v>36</v>
      </c>
      <c r="AN5" s="117">
        <v>37</v>
      </c>
      <c r="AO5" s="117">
        <v>38</v>
      </c>
      <c r="AP5" s="117">
        <v>39</v>
      </c>
      <c r="AQ5" s="117">
        <v>40</v>
      </c>
      <c r="AR5" s="117">
        <v>41</v>
      </c>
      <c r="AS5" s="117">
        <v>42</v>
      </c>
      <c r="AT5" s="152"/>
      <c r="AU5" s="152"/>
      <c r="AV5" s="152"/>
      <c r="AW5" s="152"/>
      <c r="AX5" s="152"/>
      <c r="AY5" s="152"/>
      <c r="AZ5" s="152"/>
      <c r="BA5" s="152"/>
    </row>
    <row r="6" spans="2:53" ht="16.5" thickBot="1">
      <c r="B6" s="112" t="s">
        <v>160</v>
      </c>
      <c r="C6" s="118" t="s">
        <v>161</v>
      </c>
      <c r="D6" s="119" t="s">
        <v>162</v>
      </c>
      <c r="E6" s="119" t="s">
        <v>162</v>
      </c>
      <c r="F6" s="119" t="s">
        <v>162</v>
      </c>
      <c r="G6" s="119" t="s">
        <v>162</v>
      </c>
      <c r="H6" s="119" t="s">
        <v>162</v>
      </c>
      <c r="I6" s="119" t="s">
        <v>162</v>
      </c>
      <c r="J6" s="119" t="s">
        <v>162</v>
      </c>
      <c r="K6" s="119" t="s">
        <v>162</v>
      </c>
      <c r="L6" s="119" t="s">
        <v>162</v>
      </c>
      <c r="M6" s="119" t="s">
        <v>162</v>
      </c>
      <c r="N6" s="119" t="s">
        <v>162</v>
      </c>
      <c r="O6" s="119" t="s">
        <v>162</v>
      </c>
      <c r="P6" s="119" t="s">
        <v>162</v>
      </c>
      <c r="Q6" s="119" t="s">
        <v>162</v>
      </c>
      <c r="R6" s="119" t="s">
        <v>162</v>
      </c>
      <c r="S6" s="119" t="s">
        <v>162</v>
      </c>
      <c r="T6" s="119" t="s">
        <v>162</v>
      </c>
      <c r="U6" s="119" t="s">
        <v>162</v>
      </c>
      <c r="V6" s="119" t="s">
        <v>162</v>
      </c>
      <c r="W6" s="119" t="s">
        <v>162</v>
      </c>
      <c r="X6" s="119" t="s">
        <v>162</v>
      </c>
      <c r="Y6" s="119" t="s">
        <v>162</v>
      </c>
      <c r="Z6" s="119" t="s">
        <v>162</v>
      </c>
      <c r="AA6" s="119" t="s">
        <v>162</v>
      </c>
      <c r="AB6" s="119" t="s">
        <v>162</v>
      </c>
      <c r="AC6" s="119" t="s">
        <v>162</v>
      </c>
      <c r="AD6" s="119" t="s">
        <v>162</v>
      </c>
      <c r="AE6" s="119" t="s">
        <v>162</v>
      </c>
      <c r="AF6" s="119" t="s">
        <v>162</v>
      </c>
      <c r="AG6" s="119" t="s">
        <v>162</v>
      </c>
      <c r="AH6" s="119" t="s">
        <v>162</v>
      </c>
      <c r="AI6" s="119" t="s">
        <v>162</v>
      </c>
      <c r="AJ6" s="119" t="s">
        <v>162</v>
      </c>
      <c r="AK6" s="119" t="s">
        <v>162</v>
      </c>
      <c r="AL6" s="119" t="s">
        <v>162</v>
      </c>
      <c r="AM6" s="119" t="s">
        <v>162</v>
      </c>
      <c r="AN6" s="119" t="s">
        <v>162</v>
      </c>
      <c r="AO6" s="119" t="s">
        <v>162</v>
      </c>
      <c r="AP6" s="119" t="s">
        <v>162</v>
      </c>
      <c r="AQ6" s="119" t="s">
        <v>162</v>
      </c>
      <c r="AR6" s="119" t="s">
        <v>162</v>
      </c>
      <c r="AS6" s="119" t="s">
        <v>162</v>
      </c>
      <c r="AT6" s="153"/>
      <c r="AU6" s="153"/>
      <c r="AV6" s="153"/>
      <c r="AW6" s="153"/>
      <c r="AX6" s="153"/>
      <c r="AY6" s="153"/>
      <c r="AZ6" s="153"/>
      <c r="BA6" s="153"/>
    </row>
    <row r="7" spans="2:53" ht="15.75">
      <c r="B7" s="120">
        <v>1</v>
      </c>
      <c r="C7" s="121" t="s">
        <v>163</v>
      </c>
      <c r="D7" s="113" t="s">
        <v>251</v>
      </c>
      <c r="E7" s="113" t="s">
        <v>251</v>
      </c>
      <c r="F7" s="113" t="s">
        <v>251</v>
      </c>
      <c r="G7" s="113" t="s">
        <v>251</v>
      </c>
      <c r="H7" s="113" t="s">
        <v>251</v>
      </c>
      <c r="I7" s="113" t="s">
        <v>251</v>
      </c>
      <c r="J7" s="113" t="s">
        <v>251</v>
      </c>
      <c r="K7" s="113" t="s">
        <v>251</v>
      </c>
      <c r="L7" s="113" t="s">
        <v>251</v>
      </c>
      <c r="M7" s="113" t="s">
        <v>251</v>
      </c>
      <c r="N7" s="113" t="s">
        <v>251</v>
      </c>
      <c r="O7" s="113" t="s">
        <v>251</v>
      </c>
      <c r="P7" s="113" t="s">
        <v>251</v>
      </c>
      <c r="Q7" s="113" t="s">
        <v>251</v>
      </c>
      <c r="R7" s="113"/>
      <c r="S7" s="113" t="s">
        <v>251</v>
      </c>
      <c r="T7" s="113" t="s">
        <v>251</v>
      </c>
      <c r="U7" s="113" t="s">
        <v>251</v>
      </c>
      <c r="V7" s="113" t="s">
        <v>251</v>
      </c>
      <c r="W7" s="113" t="s">
        <v>251</v>
      </c>
      <c r="X7" s="113" t="s">
        <v>251</v>
      </c>
      <c r="Y7" s="113" t="s">
        <v>252</v>
      </c>
      <c r="Z7" s="113" t="s">
        <v>251</v>
      </c>
      <c r="AA7" s="113" t="s">
        <v>251</v>
      </c>
      <c r="AB7" s="113" t="s">
        <v>251</v>
      </c>
      <c r="AC7" s="113" t="s">
        <v>251</v>
      </c>
      <c r="AD7" s="113" t="s">
        <v>251</v>
      </c>
      <c r="AE7" s="113" t="s">
        <v>251</v>
      </c>
      <c r="AF7" s="113" t="s">
        <v>251</v>
      </c>
      <c r="AG7" s="113" t="s">
        <v>251</v>
      </c>
      <c r="AH7" s="113" t="s">
        <v>251</v>
      </c>
      <c r="AI7" s="113" t="s">
        <v>251</v>
      </c>
      <c r="AJ7" s="113" t="s">
        <v>251</v>
      </c>
      <c r="AK7" s="113" t="s">
        <v>251</v>
      </c>
      <c r="AL7" s="113" t="s">
        <v>251</v>
      </c>
      <c r="AM7" s="113" t="s">
        <v>251</v>
      </c>
      <c r="AN7" s="113" t="s">
        <v>251</v>
      </c>
      <c r="AO7" s="113" t="s">
        <v>251</v>
      </c>
      <c r="AP7" s="113" t="s">
        <v>251</v>
      </c>
      <c r="AQ7" s="113" t="s">
        <v>251</v>
      </c>
      <c r="AR7" s="113"/>
      <c r="AS7" s="113"/>
      <c r="AT7" s="154"/>
      <c r="AU7" s="154"/>
      <c r="AV7" s="154"/>
      <c r="AW7" s="154"/>
      <c r="AX7" s="154"/>
      <c r="AY7" s="154"/>
      <c r="AZ7" s="154"/>
      <c r="BA7" s="154"/>
    </row>
    <row r="8" spans="2:53" ht="15.75">
      <c r="B8" s="122">
        <v>2</v>
      </c>
      <c r="C8" s="123" t="s">
        <v>164</v>
      </c>
      <c r="D8" s="113" t="s">
        <v>252</v>
      </c>
      <c r="E8" s="113" t="s">
        <v>252</v>
      </c>
      <c r="F8" s="113" t="s">
        <v>252</v>
      </c>
      <c r="G8" s="113" t="s">
        <v>252</v>
      </c>
      <c r="H8" s="113" t="s">
        <v>251</v>
      </c>
      <c r="I8" s="113" t="s">
        <v>251</v>
      </c>
      <c r="J8" s="113" t="s">
        <v>252</v>
      </c>
      <c r="K8" s="113" t="s">
        <v>252</v>
      </c>
      <c r="L8" s="113" t="s">
        <v>252</v>
      </c>
      <c r="M8" s="113" t="s">
        <v>251</v>
      </c>
      <c r="N8" s="113" t="s">
        <v>251</v>
      </c>
      <c r="O8" s="113" t="s">
        <v>251</v>
      </c>
      <c r="P8" s="113" t="s">
        <v>251</v>
      </c>
      <c r="Q8" s="113"/>
      <c r="R8" s="113" t="s">
        <v>251</v>
      </c>
      <c r="S8" s="113" t="s">
        <v>251</v>
      </c>
      <c r="T8" s="113" t="s">
        <v>252</v>
      </c>
      <c r="U8" s="113" t="s">
        <v>251</v>
      </c>
      <c r="V8" s="113" t="s">
        <v>251</v>
      </c>
      <c r="W8" s="113" t="s">
        <v>251</v>
      </c>
      <c r="X8" s="113" t="s">
        <v>251</v>
      </c>
      <c r="Y8" s="113" t="s">
        <v>252</v>
      </c>
      <c r="Z8" s="113" t="s">
        <v>251</v>
      </c>
      <c r="AA8" s="113" t="s">
        <v>251</v>
      </c>
      <c r="AB8" s="113" t="s">
        <v>251</v>
      </c>
      <c r="AC8" s="113" t="s">
        <v>251</v>
      </c>
      <c r="AD8" s="113" t="s">
        <v>251</v>
      </c>
      <c r="AE8" s="113" t="s">
        <v>252</v>
      </c>
      <c r="AF8" s="113" t="s">
        <v>252</v>
      </c>
      <c r="AG8" s="113" t="s">
        <v>252</v>
      </c>
      <c r="AH8" s="113" t="s">
        <v>251</v>
      </c>
      <c r="AI8" s="113" t="s">
        <v>251</v>
      </c>
      <c r="AJ8" s="113" t="s">
        <v>251</v>
      </c>
      <c r="AK8" s="113" t="s">
        <v>251</v>
      </c>
      <c r="AL8" s="113" t="s">
        <v>251</v>
      </c>
      <c r="AM8" s="113" t="s">
        <v>251</v>
      </c>
      <c r="AN8" s="113" t="s">
        <v>251</v>
      </c>
      <c r="AO8" s="113" t="s">
        <v>251</v>
      </c>
      <c r="AP8" s="113" t="s">
        <v>251</v>
      </c>
      <c r="AQ8" s="113" t="s">
        <v>251</v>
      </c>
      <c r="AR8" s="113"/>
      <c r="AS8" s="113"/>
      <c r="AT8" s="154"/>
      <c r="AU8" s="154"/>
      <c r="AV8" s="154"/>
      <c r="AW8" s="154"/>
      <c r="AX8" s="154"/>
      <c r="AY8" s="154"/>
      <c r="AZ8" s="154"/>
      <c r="BA8" s="154"/>
    </row>
    <row r="9" spans="2:53" ht="15.75">
      <c r="B9" s="122">
        <v>3</v>
      </c>
      <c r="C9" s="123" t="s">
        <v>165</v>
      </c>
      <c r="D9" s="113" t="s">
        <v>252</v>
      </c>
      <c r="E9" s="113" t="s">
        <v>252</v>
      </c>
      <c r="F9" s="113" t="s">
        <v>252</v>
      </c>
      <c r="G9" s="113" t="s">
        <v>252</v>
      </c>
      <c r="H9" s="113" t="s">
        <v>252</v>
      </c>
      <c r="I9" s="113" t="s">
        <v>252</v>
      </c>
      <c r="J9" s="113" t="s">
        <v>252</v>
      </c>
      <c r="K9" s="113" t="s">
        <v>252</v>
      </c>
      <c r="L9" s="113" t="s">
        <v>252</v>
      </c>
      <c r="M9" s="113" t="s">
        <v>252</v>
      </c>
      <c r="N9" s="113" t="s">
        <v>252</v>
      </c>
      <c r="O9" s="113" t="s">
        <v>252</v>
      </c>
      <c r="P9" s="113" t="s">
        <v>252</v>
      </c>
      <c r="Q9" s="113"/>
      <c r="R9" s="113"/>
      <c r="S9" s="113" t="s">
        <v>251</v>
      </c>
      <c r="T9" s="113" t="s">
        <v>252</v>
      </c>
      <c r="U9" s="113" t="s">
        <v>251</v>
      </c>
      <c r="V9" s="113" t="s">
        <v>251</v>
      </c>
      <c r="W9" s="113" t="s">
        <v>251</v>
      </c>
      <c r="X9" s="113" t="s">
        <v>251</v>
      </c>
      <c r="Y9" s="113" t="s">
        <v>251</v>
      </c>
      <c r="Z9" s="113" t="s">
        <v>251</v>
      </c>
      <c r="AA9" s="113" t="s">
        <v>251</v>
      </c>
      <c r="AB9" s="113" t="s">
        <v>252</v>
      </c>
      <c r="AC9" s="113" t="s">
        <v>252</v>
      </c>
      <c r="AD9" s="113" t="s">
        <v>251</v>
      </c>
      <c r="AE9" s="113" t="s">
        <v>251</v>
      </c>
      <c r="AF9" s="113" t="s">
        <v>251</v>
      </c>
      <c r="AG9" s="113" t="s">
        <v>252</v>
      </c>
      <c r="AH9" s="113" t="s">
        <v>252</v>
      </c>
      <c r="AI9" s="113" t="s">
        <v>252</v>
      </c>
      <c r="AJ9" s="113" t="s">
        <v>252</v>
      </c>
      <c r="AK9" s="113" t="s">
        <v>252</v>
      </c>
      <c r="AL9" s="113" t="s">
        <v>252</v>
      </c>
      <c r="AM9" s="113" t="s">
        <v>252</v>
      </c>
      <c r="AN9" s="113" t="s">
        <v>251</v>
      </c>
      <c r="AO9" s="113" t="s">
        <v>251</v>
      </c>
      <c r="AP9" s="113" t="s">
        <v>251</v>
      </c>
      <c r="AQ9" s="113" t="s">
        <v>251</v>
      </c>
      <c r="AR9" s="113"/>
      <c r="AS9" s="113"/>
      <c r="AT9" s="154"/>
      <c r="AU9" s="154"/>
      <c r="AV9" s="154"/>
      <c r="AW9" s="154"/>
      <c r="AX9" s="154"/>
      <c r="AY9" s="154"/>
      <c r="AZ9" s="154"/>
      <c r="BA9" s="154"/>
    </row>
    <row r="10" spans="2:53" ht="15.75">
      <c r="B10" s="122">
        <v>4</v>
      </c>
      <c r="C10" s="123" t="s">
        <v>166</v>
      </c>
      <c r="D10" s="113" t="s">
        <v>252</v>
      </c>
      <c r="E10" s="113" t="s">
        <v>252</v>
      </c>
      <c r="F10" s="113" t="s">
        <v>252</v>
      </c>
      <c r="G10" s="113" t="s">
        <v>252</v>
      </c>
      <c r="H10" s="113" t="s">
        <v>252</v>
      </c>
      <c r="I10" s="113" t="s">
        <v>252</v>
      </c>
      <c r="J10" s="113" t="s">
        <v>252</v>
      </c>
      <c r="K10" s="113" t="s">
        <v>252</v>
      </c>
      <c r="L10" s="113" t="s">
        <v>252</v>
      </c>
      <c r="M10" s="113" t="s">
        <v>252</v>
      </c>
      <c r="N10" s="113" t="s">
        <v>252</v>
      </c>
      <c r="O10" s="113" t="s">
        <v>252</v>
      </c>
      <c r="P10" s="113" t="s">
        <v>252</v>
      </c>
      <c r="Q10" s="113"/>
      <c r="R10" s="113"/>
      <c r="S10" s="113" t="s">
        <v>251</v>
      </c>
      <c r="T10" s="113" t="s">
        <v>252</v>
      </c>
      <c r="U10" s="113" t="s">
        <v>251</v>
      </c>
      <c r="V10" s="113" t="s">
        <v>251</v>
      </c>
      <c r="W10" s="113" t="s">
        <v>251</v>
      </c>
      <c r="X10" s="113" t="s">
        <v>251</v>
      </c>
      <c r="Y10" s="113" t="s">
        <v>251</v>
      </c>
      <c r="Z10" s="113" t="s">
        <v>251</v>
      </c>
      <c r="AA10" s="113" t="s">
        <v>251</v>
      </c>
      <c r="AB10" s="113" t="s">
        <v>252</v>
      </c>
      <c r="AC10" s="113" t="s">
        <v>252</v>
      </c>
      <c r="AD10" s="113" t="s">
        <v>251</v>
      </c>
      <c r="AE10" s="113" t="s">
        <v>251</v>
      </c>
      <c r="AF10" s="113" t="s">
        <v>251</v>
      </c>
      <c r="AG10" s="113" t="s">
        <v>252</v>
      </c>
      <c r="AH10" s="113" t="s">
        <v>252</v>
      </c>
      <c r="AI10" s="113" t="s">
        <v>252</v>
      </c>
      <c r="AJ10" s="113" t="s">
        <v>252</v>
      </c>
      <c r="AK10" s="113" t="s">
        <v>252</v>
      </c>
      <c r="AL10" s="113" t="s">
        <v>252</v>
      </c>
      <c r="AM10" s="113" t="s">
        <v>252</v>
      </c>
      <c r="AN10" s="113" t="s">
        <v>251</v>
      </c>
      <c r="AO10" s="113" t="s">
        <v>251</v>
      </c>
      <c r="AP10" s="113" t="s">
        <v>251</v>
      </c>
      <c r="AQ10" s="113" t="s">
        <v>251</v>
      </c>
      <c r="AR10" s="113"/>
      <c r="AS10" s="113"/>
      <c r="AT10" s="154"/>
      <c r="AU10" s="154"/>
      <c r="AV10" s="154"/>
      <c r="AW10" s="154"/>
      <c r="AX10" s="154"/>
      <c r="AY10" s="154"/>
      <c r="AZ10" s="154"/>
      <c r="BA10" s="154"/>
    </row>
    <row r="11" spans="2:53" ht="15.75">
      <c r="B11" s="122">
        <v>5</v>
      </c>
      <c r="C11" s="123" t="s">
        <v>167</v>
      </c>
      <c r="D11" s="113" t="s">
        <v>251</v>
      </c>
      <c r="E11" s="113" t="s">
        <v>251</v>
      </c>
      <c r="F11" s="113" t="s">
        <v>251</v>
      </c>
      <c r="G11" s="113" t="s">
        <v>251</v>
      </c>
      <c r="H11" s="113" t="s">
        <v>251</v>
      </c>
      <c r="I11" s="113" t="s">
        <v>251</v>
      </c>
      <c r="J11" s="113" t="s">
        <v>251</v>
      </c>
      <c r="K11" s="113" t="s">
        <v>251</v>
      </c>
      <c r="L11" s="113" t="s">
        <v>251</v>
      </c>
      <c r="M11" s="113" t="s">
        <v>251</v>
      </c>
      <c r="N11" s="113" t="s">
        <v>251</v>
      </c>
      <c r="O11" s="113" t="s">
        <v>251</v>
      </c>
      <c r="P11" s="113" t="s">
        <v>251</v>
      </c>
      <c r="Q11" s="113"/>
      <c r="R11" s="113"/>
      <c r="S11" s="113" t="s">
        <v>251</v>
      </c>
      <c r="T11" s="113" t="s">
        <v>251</v>
      </c>
      <c r="U11" s="113" t="s">
        <v>251</v>
      </c>
      <c r="V11" s="113" t="s">
        <v>251</v>
      </c>
      <c r="W11" s="113" t="s">
        <v>251</v>
      </c>
      <c r="X11" s="113" t="s">
        <v>251</v>
      </c>
      <c r="Y11" s="113" t="s">
        <v>251</v>
      </c>
      <c r="Z11" s="113" t="s">
        <v>251</v>
      </c>
      <c r="AA11" s="113" t="s">
        <v>251</v>
      </c>
      <c r="AB11" s="113" t="s">
        <v>251</v>
      </c>
      <c r="AC11" s="113" t="s">
        <v>251</v>
      </c>
      <c r="AD11" s="113" t="s">
        <v>251</v>
      </c>
      <c r="AE11" s="113" t="s">
        <v>251</v>
      </c>
      <c r="AF11" s="113" t="s">
        <v>251</v>
      </c>
      <c r="AG11" s="113" t="s">
        <v>251</v>
      </c>
      <c r="AH11" s="113" t="s">
        <v>251</v>
      </c>
      <c r="AI11" s="113" t="s">
        <v>251</v>
      </c>
      <c r="AJ11" s="113" t="s">
        <v>252</v>
      </c>
      <c r="AK11" s="113" t="s">
        <v>252</v>
      </c>
      <c r="AL11" s="113" t="s">
        <v>251</v>
      </c>
      <c r="AM11" s="113" t="s">
        <v>251</v>
      </c>
      <c r="AN11" s="113" t="s">
        <v>251</v>
      </c>
      <c r="AO11" s="113" t="s">
        <v>251</v>
      </c>
      <c r="AP11" s="113" t="s">
        <v>251</v>
      </c>
      <c r="AQ11" s="113" t="s">
        <v>251</v>
      </c>
      <c r="AR11" s="113"/>
      <c r="AS11" s="113"/>
      <c r="AT11" s="154"/>
      <c r="AU11" s="154"/>
      <c r="AV11" s="154"/>
      <c r="AW11" s="154"/>
      <c r="AX11" s="154"/>
      <c r="AY11" s="154"/>
      <c r="AZ11" s="154"/>
      <c r="BA11" s="154"/>
    </row>
    <row r="12" spans="2:53" ht="15.75">
      <c r="B12" s="122">
        <v>6</v>
      </c>
      <c r="C12" s="123" t="s">
        <v>168</v>
      </c>
      <c r="D12" s="113" t="s">
        <v>252</v>
      </c>
      <c r="E12" s="113" t="s">
        <v>252</v>
      </c>
      <c r="F12" s="113" t="s">
        <v>252</v>
      </c>
      <c r="G12" s="113" t="s">
        <v>251</v>
      </c>
      <c r="H12" s="113" t="s">
        <v>251</v>
      </c>
      <c r="I12" s="113" t="s">
        <v>251</v>
      </c>
      <c r="J12" s="113" t="s">
        <v>252</v>
      </c>
      <c r="K12" s="113" t="s">
        <v>251</v>
      </c>
      <c r="L12" s="113" t="s">
        <v>251</v>
      </c>
      <c r="M12" s="113" t="s">
        <v>252</v>
      </c>
      <c r="N12" s="113" t="s">
        <v>252</v>
      </c>
      <c r="O12" s="113" t="s">
        <v>251</v>
      </c>
      <c r="P12" s="113" t="s">
        <v>252</v>
      </c>
      <c r="Q12" s="113"/>
      <c r="R12" s="113"/>
      <c r="S12" s="113" t="s">
        <v>251</v>
      </c>
      <c r="T12" s="113" t="s">
        <v>252</v>
      </c>
      <c r="U12" s="113" t="s">
        <v>251</v>
      </c>
      <c r="V12" s="113" t="s">
        <v>251</v>
      </c>
      <c r="W12" s="113" t="s">
        <v>251</v>
      </c>
      <c r="X12" s="113" t="s">
        <v>251</v>
      </c>
      <c r="Y12" s="113" t="s">
        <v>252</v>
      </c>
      <c r="Z12" s="113" t="s">
        <v>252</v>
      </c>
      <c r="AA12" s="113" t="s">
        <v>252</v>
      </c>
      <c r="AB12" s="113" t="s">
        <v>251</v>
      </c>
      <c r="AC12" s="113" t="s">
        <v>251</v>
      </c>
      <c r="AD12" s="113" t="s">
        <v>251</v>
      </c>
      <c r="AE12" s="113" t="s">
        <v>251</v>
      </c>
      <c r="AF12" s="113" t="s">
        <v>251</v>
      </c>
      <c r="AG12" s="113" t="s">
        <v>251</v>
      </c>
      <c r="AH12" s="113" t="s">
        <v>251</v>
      </c>
      <c r="AI12" s="113" t="s">
        <v>251</v>
      </c>
      <c r="AJ12" s="113" t="s">
        <v>251</v>
      </c>
      <c r="AK12" s="113" t="s">
        <v>251</v>
      </c>
      <c r="AL12" s="113" t="s">
        <v>251</v>
      </c>
      <c r="AM12" s="113" t="s">
        <v>251</v>
      </c>
      <c r="AN12" s="113" t="s">
        <v>251</v>
      </c>
      <c r="AO12" s="113" t="s">
        <v>251</v>
      </c>
      <c r="AP12" s="113" t="s">
        <v>251</v>
      </c>
      <c r="AQ12" s="113" t="s">
        <v>251</v>
      </c>
      <c r="AR12" s="113"/>
      <c r="AS12" s="113"/>
      <c r="AT12" s="154"/>
      <c r="AU12" s="154"/>
      <c r="AV12" s="154"/>
      <c r="AW12" s="154"/>
      <c r="AX12" s="154"/>
      <c r="AY12" s="154"/>
      <c r="AZ12" s="154"/>
      <c r="BA12" s="154"/>
    </row>
    <row r="13" spans="2:53" ht="15.75">
      <c r="B13" s="122">
        <v>7</v>
      </c>
      <c r="C13" s="123" t="s">
        <v>169</v>
      </c>
      <c r="D13" s="113" t="s">
        <v>252</v>
      </c>
      <c r="E13" s="113" t="s">
        <v>252</v>
      </c>
      <c r="F13" s="113" t="s">
        <v>252</v>
      </c>
      <c r="G13" s="113" t="s">
        <v>252</v>
      </c>
      <c r="H13" s="113" t="s">
        <v>251</v>
      </c>
      <c r="I13" s="113" t="s">
        <v>251</v>
      </c>
      <c r="J13" s="113" t="s">
        <v>252</v>
      </c>
      <c r="K13" s="113" t="s">
        <v>252</v>
      </c>
      <c r="L13" s="113" t="s">
        <v>252</v>
      </c>
      <c r="M13" s="113" t="s">
        <v>252</v>
      </c>
      <c r="N13" s="113" t="s">
        <v>252</v>
      </c>
      <c r="O13" s="113" t="s">
        <v>252</v>
      </c>
      <c r="P13" s="113" t="s">
        <v>251</v>
      </c>
      <c r="Q13" s="113"/>
      <c r="R13" s="113"/>
      <c r="S13" s="113" t="s">
        <v>251</v>
      </c>
      <c r="T13" s="113" t="s">
        <v>252</v>
      </c>
      <c r="U13" s="113" t="s">
        <v>251</v>
      </c>
      <c r="V13" s="113" t="s">
        <v>251</v>
      </c>
      <c r="W13" s="113" t="s">
        <v>251</v>
      </c>
      <c r="X13" s="113" t="s">
        <v>252</v>
      </c>
      <c r="Y13" s="113" t="s">
        <v>251</v>
      </c>
      <c r="Z13" s="113" t="s">
        <v>251</v>
      </c>
      <c r="AA13" s="113" t="s">
        <v>251</v>
      </c>
      <c r="AB13" s="113" t="s">
        <v>252</v>
      </c>
      <c r="AC13" s="113" t="s">
        <v>252</v>
      </c>
      <c r="AD13" s="113" t="s">
        <v>251</v>
      </c>
      <c r="AE13" s="113" t="s">
        <v>252</v>
      </c>
      <c r="AF13" s="113" t="s">
        <v>252</v>
      </c>
      <c r="AG13" s="113" t="s">
        <v>252</v>
      </c>
      <c r="AH13" s="113" t="s">
        <v>251</v>
      </c>
      <c r="AI13" s="113" t="s">
        <v>251</v>
      </c>
      <c r="AJ13" s="113" t="s">
        <v>251</v>
      </c>
      <c r="AK13" s="113" t="s">
        <v>251</v>
      </c>
      <c r="AL13" s="113" t="s">
        <v>251</v>
      </c>
      <c r="AM13" s="113" t="s">
        <v>251</v>
      </c>
      <c r="AN13" s="113" t="s">
        <v>251</v>
      </c>
      <c r="AO13" s="113" t="s">
        <v>251</v>
      </c>
      <c r="AP13" s="113" t="s">
        <v>251</v>
      </c>
      <c r="AQ13" s="113" t="s">
        <v>251</v>
      </c>
      <c r="AR13" s="113"/>
      <c r="AS13" s="113"/>
      <c r="AT13" s="154"/>
      <c r="AU13" s="154"/>
      <c r="AV13" s="154"/>
      <c r="AW13" s="154"/>
      <c r="AX13" s="154"/>
      <c r="AY13" s="154"/>
      <c r="AZ13" s="154"/>
      <c r="BA13" s="154"/>
    </row>
    <row r="14" spans="2:53" ht="30">
      <c r="B14" s="122">
        <v>8</v>
      </c>
      <c r="C14" s="123" t="s">
        <v>170</v>
      </c>
      <c r="D14" s="113" t="s">
        <v>252</v>
      </c>
      <c r="E14" s="113" t="s">
        <v>252</v>
      </c>
      <c r="F14" s="113" t="s">
        <v>252</v>
      </c>
      <c r="G14" s="113" t="s">
        <v>252</v>
      </c>
      <c r="H14" s="113" t="s">
        <v>251</v>
      </c>
      <c r="I14" s="113" t="s">
        <v>251</v>
      </c>
      <c r="J14" s="113" t="s">
        <v>252</v>
      </c>
      <c r="K14" s="113" t="s">
        <v>252</v>
      </c>
      <c r="L14" s="113" t="s">
        <v>252</v>
      </c>
      <c r="M14" s="113" t="s">
        <v>252</v>
      </c>
      <c r="N14" s="113" t="s">
        <v>252</v>
      </c>
      <c r="O14" s="113" t="s">
        <v>252</v>
      </c>
      <c r="P14" s="113" t="s">
        <v>252</v>
      </c>
      <c r="Q14" s="113"/>
      <c r="R14" s="113"/>
      <c r="S14" s="113" t="s">
        <v>251</v>
      </c>
      <c r="T14" s="113" t="s">
        <v>252</v>
      </c>
      <c r="U14" s="113" t="s">
        <v>252</v>
      </c>
      <c r="V14" s="113" t="s">
        <v>252</v>
      </c>
      <c r="W14" s="113" t="s">
        <v>252</v>
      </c>
      <c r="X14" s="113" t="s">
        <v>252</v>
      </c>
      <c r="Y14" s="113" t="s">
        <v>252</v>
      </c>
      <c r="Z14" s="113" t="s">
        <v>251</v>
      </c>
      <c r="AA14" s="113" t="s">
        <v>251</v>
      </c>
      <c r="AB14" s="113" t="s">
        <v>252</v>
      </c>
      <c r="AC14" s="113" t="s">
        <v>252</v>
      </c>
      <c r="AD14" s="113" t="s">
        <v>251</v>
      </c>
      <c r="AE14" s="113" t="s">
        <v>252</v>
      </c>
      <c r="AF14" s="113" t="s">
        <v>252</v>
      </c>
      <c r="AG14" s="113" t="s">
        <v>252</v>
      </c>
      <c r="AH14" s="113" t="s">
        <v>252</v>
      </c>
      <c r="AI14" s="113" t="s">
        <v>252</v>
      </c>
      <c r="AJ14" s="113" t="s">
        <v>252</v>
      </c>
      <c r="AK14" s="113" t="s">
        <v>252</v>
      </c>
      <c r="AL14" s="113" t="s">
        <v>252</v>
      </c>
      <c r="AM14" s="113" t="s">
        <v>252</v>
      </c>
      <c r="AN14" s="113" t="s">
        <v>251</v>
      </c>
      <c r="AO14" s="113" t="s">
        <v>251</v>
      </c>
      <c r="AP14" s="113" t="s">
        <v>251</v>
      </c>
      <c r="AQ14" s="113" t="s">
        <v>251</v>
      </c>
      <c r="AR14" s="113"/>
      <c r="AS14" s="113"/>
      <c r="AT14" s="154"/>
      <c r="AU14" s="154"/>
      <c r="AV14" s="154"/>
      <c r="AW14" s="154"/>
      <c r="AX14" s="154"/>
      <c r="AY14" s="154"/>
      <c r="AZ14" s="154"/>
      <c r="BA14" s="154"/>
    </row>
    <row r="15" spans="2:53" ht="15.75">
      <c r="B15" s="122">
        <v>9</v>
      </c>
      <c r="C15" s="123" t="s">
        <v>171</v>
      </c>
      <c r="D15" s="113" t="s">
        <v>251</v>
      </c>
      <c r="E15" s="113" t="s">
        <v>251</v>
      </c>
      <c r="F15" s="113" t="s">
        <v>251</v>
      </c>
      <c r="G15" s="113" t="s">
        <v>251</v>
      </c>
      <c r="H15" s="113" t="s">
        <v>251</v>
      </c>
      <c r="I15" s="113" t="s">
        <v>251</v>
      </c>
      <c r="J15" s="113" t="s">
        <v>252</v>
      </c>
      <c r="K15" s="113" t="s">
        <v>252</v>
      </c>
      <c r="L15" s="113" t="s">
        <v>252</v>
      </c>
      <c r="M15" s="113" t="s">
        <v>252</v>
      </c>
      <c r="N15" s="113" t="s">
        <v>251</v>
      </c>
      <c r="O15" s="113" t="s">
        <v>252</v>
      </c>
      <c r="P15" s="113" t="s">
        <v>252</v>
      </c>
      <c r="Q15" s="113"/>
      <c r="R15" s="113"/>
      <c r="S15" s="113" t="s">
        <v>251</v>
      </c>
      <c r="T15" s="113" t="s">
        <v>252</v>
      </c>
      <c r="U15" s="113" t="s">
        <v>251</v>
      </c>
      <c r="V15" s="113" t="s">
        <v>251</v>
      </c>
      <c r="W15" s="113" t="s">
        <v>252</v>
      </c>
      <c r="X15" s="113" t="s">
        <v>252</v>
      </c>
      <c r="Y15" s="113" t="s">
        <v>251</v>
      </c>
      <c r="Z15" s="113" t="s">
        <v>251</v>
      </c>
      <c r="AA15" s="113" t="s">
        <v>251</v>
      </c>
      <c r="AB15" s="113" t="s">
        <v>252</v>
      </c>
      <c r="AC15" s="113" t="s">
        <v>252</v>
      </c>
      <c r="AD15" s="113" t="s">
        <v>252</v>
      </c>
      <c r="AE15" s="113" t="s">
        <v>252</v>
      </c>
      <c r="AF15" s="113" t="s">
        <v>252</v>
      </c>
      <c r="AG15" s="113" t="s">
        <v>252</v>
      </c>
      <c r="AH15" s="113" t="s">
        <v>252</v>
      </c>
      <c r="AI15" s="113" t="s">
        <v>252</v>
      </c>
      <c r="AJ15" s="113" t="s">
        <v>252</v>
      </c>
      <c r="AK15" s="113" t="s">
        <v>252</v>
      </c>
      <c r="AL15" s="113" t="s">
        <v>252</v>
      </c>
      <c r="AM15" s="113" t="s">
        <v>252</v>
      </c>
      <c r="AN15" s="113" t="s">
        <v>251</v>
      </c>
      <c r="AO15" s="113" t="s">
        <v>251</v>
      </c>
      <c r="AP15" s="113" t="s">
        <v>251</v>
      </c>
      <c r="AQ15" s="113" t="s">
        <v>252</v>
      </c>
      <c r="AR15" s="113"/>
      <c r="AS15" s="113"/>
      <c r="AT15" s="154"/>
      <c r="AU15" s="154"/>
      <c r="AV15" s="154"/>
      <c r="AW15" s="154"/>
      <c r="AX15" s="154"/>
      <c r="AY15" s="154"/>
      <c r="AZ15" s="154"/>
      <c r="BA15" s="154"/>
    </row>
    <row r="16" spans="2:53" ht="15.75">
      <c r="B16" s="122">
        <v>10</v>
      </c>
      <c r="C16" s="123" t="s">
        <v>172</v>
      </c>
      <c r="D16" s="113" t="s">
        <v>252</v>
      </c>
      <c r="E16" s="113" t="s">
        <v>252</v>
      </c>
      <c r="F16" s="113" t="s">
        <v>252</v>
      </c>
      <c r="G16" s="113" t="s">
        <v>251</v>
      </c>
      <c r="H16" s="113" t="s">
        <v>251</v>
      </c>
      <c r="I16" s="113" t="s">
        <v>251</v>
      </c>
      <c r="J16" s="113" t="s">
        <v>251</v>
      </c>
      <c r="K16" s="113" t="s">
        <v>251</v>
      </c>
      <c r="L16" s="113" t="s">
        <v>251</v>
      </c>
      <c r="M16" s="113" t="s">
        <v>251</v>
      </c>
      <c r="N16" s="113" t="s">
        <v>251</v>
      </c>
      <c r="O16" s="113" t="s">
        <v>251</v>
      </c>
      <c r="P16" s="113" t="s">
        <v>251</v>
      </c>
      <c r="Q16" s="113"/>
      <c r="R16" s="113"/>
      <c r="S16" s="113" t="s">
        <v>251</v>
      </c>
      <c r="T16" s="113" t="s">
        <v>252</v>
      </c>
      <c r="U16" s="113" t="s">
        <v>251</v>
      </c>
      <c r="V16" s="113" t="s">
        <v>251</v>
      </c>
      <c r="W16" s="113" t="s">
        <v>251</v>
      </c>
      <c r="X16" s="113" t="s">
        <v>252</v>
      </c>
      <c r="Y16" s="113" t="s">
        <v>251</v>
      </c>
      <c r="Z16" s="113" t="s">
        <v>251</v>
      </c>
      <c r="AA16" s="113" t="s">
        <v>251</v>
      </c>
      <c r="AB16" s="113" t="s">
        <v>252</v>
      </c>
      <c r="AC16" s="113" t="s">
        <v>252</v>
      </c>
      <c r="AD16" s="113" t="s">
        <v>251</v>
      </c>
      <c r="AE16" s="113" t="s">
        <v>251</v>
      </c>
      <c r="AF16" s="113" t="s">
        <v>251</v>
      </c>
      <c r="AG16" s="113" t="s">
        <v>251</v>
      </c>
      <c r="AH16" s="113" t="s">
        <v>251</v>
      </c>
      <c r="AI16" s="113" t="s">
        <v>251</v>
      </c>
      <c r="AJ16" s="113" t="s">
        <v>251</v>
      </c>
      <c r="AK16" s="113" t="s">
        <v>251</v>
      </c>
      <c r="AL16" s="113" t="s">
        <v>251</v>
      </c>
      <c r="AM16" s="113" t="s">
        <v>251</v>
      </c>
      <c r="AN16" s="113" t="s">
        <v>251</v>
      </c>
      <c r="AO16" s="113" t="s">
        <v>251</v>
      </c>
      <c r="AP16" s="113" t="s">
        <v>251</v>
      </c>
      <c r="AQ16" s="113" t="s">
        <v>251</v>
      </c>
      <c r="AR16" s="113"/>
      <c r="AS16" s="113"/>
      <c r="AT16" s="154"/>
      <c r="AU16" s="154"/>
      <c r="AV16" s="154"/>
      <c r="AW16" s="154"/>
      <c r="AX16" s="154"/>
      <c r="AY16" s="154"/>
      <c r="AZ16" s="154"/>
      <c r="BA16" s="154"/>
    </row>
    <row r="17" spans="2:53" ht="15.75">
      <c r="B17" s="122">
        <v>11</v>
      </c>
      <c r="C17" s="123" t="s">
        <v>173</v>
      </c>
      <c r="D17" s="113" t="s">
        <v>252</v>
      </c>
      <c r="E17" s="113" t="s">
        <v>252</v>
      </c>
      <c r="F17" s="113" t="s">
        <v>252</v>
      </c>
      <c r="G17" s="113" t="s">
        <v>252</v>
      </c>
      <c r="H17" s="113" t="s">
        <v>251</v>
      </c>
      <c r="I17" s="113" t="s">
        <v>251</v>
      </c>
      <c r="J17" s="113" t="s">
        <v>252</v>
      </c>
      <c r="K17" s="113" t="s">
        <v>252</v>
      </c>
      <c r="L17" s="113" t="s">
        <v>251</v>
      </c>
      <c r="M17" s="113" t="s">
        <v>251</v>
      </c>
      <c r="N17" s="113" t="s">
        <v>251</v>
      </c>
      <c r="O17" s="113" t="s">
        <v>251</v>
      </c>
      <c r="P17" s="113" t="s">
        <v>251</v>
      </c>
      <c r="Q17" s="113"/>
      <c r="R17" s="113"/>
      <c r="S17" s="113" t="s">
        <v>251</v>
      </c>
      <c r="T17" s="113" t="s">
        <v>251</v>
      </c>
      <c r="U17" s="113" t="s">
        <v>251</v>
      </c>
      <c r="V17" s="113" t="s">
        <v>251</v>
      </c>
      <c r="W17" s="113" t="s">
        <v>251</v>
      </c>
      <c r="X17" s="113" t="s">
        <v>251</v>
      </c>
      <c r="Y17" s="113" t="s">
        <v>252</v>
      </c>
      <c r="Z17" s="113" t="s">
        <v>251</v>
      </c>
      <c r="AA17" s="113" t="s">
        <v>251</v>
      </c>
      <c r="AB17" s="113" t="s">
        <v>251</v>
      </c>
      <c r="AC17" s="113" t="s">
        <v>251</v>
      </c>
      <c r="AD17" s="113" t="s">
        <v>251</v>
      </c>
      <c r="AE17" s="113" t="s">
        <v>251</v>
      </c>
      <c r="AF17" s="113" t="s">
        <v>251</v>
      </c>
      <c r="AG17" s="113" t="s">
        <v>251</v>
      </c>
      <c r="AH17" s="113" t="s">
        <v>251</v>
      </c>
      <c r="AI17" s="113" t="s">
        <v>251</v>
      </c>
      <c r="AJ17" s="113" t="s">
        <v>251</v>
      </c>
      <c r="AK17" s="113" t="s">
        <v>251</v>
      </c>
      <c r="AL17" s="113" t="s">
        <v>251</v>
      </c>
      <c r="AM17" s="113" t="s">
        <v>251</v>
      </c>
      <c r="AN17" s="113" t="s">
        <v>251</v>
      </c>
      <c r="AO17" s="113" t="s">
        <v>251</v>
      </c>
      <c r="AP17" s="113" t="s">
        <v>251</v>
      </c>
      <c r="AQ17" s="113" t="s">
        <v>251</v>
      </c>
      <c r="AR17" s="113"/>
      <c r="AS17" s="113"/>
      <c r="AT17" s="154"/>
      <c r="AU17" s="154"/>
      <c r="AV17" s="154"/>
      <c r="AW17" s="154"/>
      <c r="AX17" s="154"/>
      <c r="AY17" s="154"/>
      <c r="AZ17" s="154"/>
      <c r="BA17" s="154"/>
    </row>
    <row r="18" spans="2:53" ht="15.75">
      <c r="B18" s="122">
        <v>12</v>
      </c>
      <c r="C18" s="123" t="s">
        <v>174</v>
      </c>
      <c r="D18" s="113" t="s">
        <v>251</v>
      </c>
      <c r="E18" s="113" t="s">
        <v>251</v>
      </c>
      <c r="F18" s="113" t="s">
        <v>251</v>
      </c>
      <c r="G18" s="113" t="s">
        <v>251</v>
      </c>
      <c r="H18" s="113" t="s">
        <v>251</v>
      </c>
      <c r="I18" s="113" t="s">
        <v>251</v>
      </c>
      <c r="J18" s="113" t="s">
        <v>251</v>
      </c>
      <c r="K18" s="113" t="s">
        <v>251</v>
      </c>
      <c r="L18" s="113" t="s">
        <v>251</v>
      </c>
      <c r="M18" s="113" t="s">
        <v>251</v>
      </c>
      <c r="N18" s="113" t="s">
        <v>251</v>
      </c>
      <c r="O18" s="113" t="s">
        <v>251</v>
      </c>
      <c r="P18" s="113" t="s">
        <v>251</v>
      </c>
      <c r="Q18" s="113"/>
      <c r="R18" s="113"/>
      <c r="S18" s="113" t="s">
        <v>251</v>
      </c>
      <c r="T18" s="113" t="s">
        <v>251</v>
      </c>
      <c r="U18" s="113" t="s">
        <v>251</v>
      </c>
      <c r="V18" s="113" t="s">
        <v>251</v>
      </c>
      <c r="W18" s="113" t="s">
        <v>251</v>
      </c>
      <c r="X18" s="113" t="s">
        <v>251</v>
      </c>
      <c r="Y18" s="113" t="s">
        <v>251</v>
      </c>
      <c r="Z18" s="113" t="s">
        <v>251</v>
      </c>
      <c r="AA18" s="113" t="s">
        <v>251</v>
      </c>
      <c r="AB18" s="113" t="s">
        <v>251</v>
      </c>
      <c r="AC18" s="113" t="s">
        <v>251</v>
      </c>
      <c r="AD18" s="113" t="s">
        <v>251</v>
      </c>
      <c r="AE18" s="113" t="s">
        <v>251</v>
      </c>
      <c r="AF18" s="113" t="s">
        <v>251</v>
      </c>
      <c r="AG18" s="113" t="s">
        <v>251</v>
      </c>
      <c r="AH18" s="113" t="s">
        <v>251</v>
      </c>
      <c r="AI18" s="113" t="s">
        <v>251</v>
      </c>
      <c r="AJ18" s="113" t="s">
        <v>251</v>
      </c>
      <c r="AK18" s="113" t="s">
        <v>251</v>
      </c>
      <c r="AL18" s="113" t="s">
        <v>251</v>
      </c>
      <c r="AM18" s="113" t="s">
        <v>251</v>
      </c>
      <c r="AN18" s="113" t="s">
        <v>251</v>
      </c>
      <c r="AO18" s="113" t="s">
        <v>251</v>
      </c>
      <c r="AP18" s="113" t="s">
        <v>251</v>
      </c>
      <c r="AQ18" s="113" t="s">
        <v>251</v>
      </c>
      <c r="AR18" s="113"/>
      <c r="AS18" s="113"/>
      <c r="AT18" s="154"/>
      <c r="AU18" s="154"/>
      <c r="AV18" s="154"/>
      <c r="AW18" s="154"/>
      <c r="AX18" s="154"/>
      <c r="AY18" s="154"/>
      <c r="AZ18" s="154"/>
      <c r="BA18" s="154"/>
    </row>
    <row r="19" spans="2:53" ht="15.75">
      <c r="B19" s="122">
        <v>13</v>
      </c>
      <c r="C19" s="123" t="s">
        <v>175</v>
      </c>
      <c r="D19" s="113" t="s">
        <v>252</v>
      </c>
      <c r="E19" s="113" t="s">
        <v>252</v>
      </c>
      <c r="F19" s="113" t="s">
        <v>252</v>
      </c>
      <c r="G19" s="113" t="s">
        <v>251</v>
      </c>
      <c r="H19" s="113" t="s">
        <v>251</v>
      </c>
      <c r="I19" s="113" t="s">
        <v>251</v>
      </c>
      <c r="J19" s="113" t="s">
        <v>252</v>
      </c>
      <c r="K19" s="113" t="s">
        <v>252</v>
      </c>
      <c r="L19" s="113" t="s">
        <v>251</v>
      </c>
      <c r="M19" s="113" t="s">
        <v>251</v>
      </c>
      <c r="N19" s="113" t="s">
        <v>251</v>
      </c>
      <c r="O19" s="113" t="s">
        <v>251</v>
      </c>
      <c r="P19" s="113" t="s">
        <v>251</v>
      </c>
      <c r="Q19" s="113"/>
      <c r="R19" s="113"/>
      <c r="S19" s="113" t="s">
        <v>251</v>
      </c>
      <c r="T19" s="113" t="s">
        <v>252</v>
      </c>
      <c r="U19" s="113" t="s">
        <v>251</v>
      </c>
      <c r="V19" s="113" t="s">
        <v>251</v>
      </c>
      <c r="W19" s="113" t="s">
        <v>252</v>
      </c>
      <c r="X19" s="113" t="s">
        <v>252</v>
      </c>
      <c r="Y19" s="113" t="s">
        <v>251</v>
      </c>
      <c r="Z19" s="113" t="s">
        <v>252</v>
      </c>
      <c r="AA19" s="113" t="s">
        <v>252</v>
      </c>
      <c r="AB19" s="113" t="s">
        <v>251</v>
      </c>
      <c r="AC19" s="113" t="s">
        <v>251</v>
      </c>
      <c r="AD19" s="113" t="s">
        <v>251</v>
      </c>
      <c r="AE19" s="113" t="s">
        <v>251</v>
      </c>
      <c r="AF19" s="113" t="s">
        <v>251</v>
      </c>
      <c r="AG19" s="113" t="s">
        <v>251</v>
      </c>
      <c r="AH19" s="113" t="s">
        <v>251</v>
      </c>
      <c r="AI19" s="113" t="s">
        <v>251</v>
      </c>
      <c r="AJ19" s="113" t="s">
        <v>251</v>
      </c>
      <c r="AK19" s="113" t="s">
        <v>251</v>
      </c>
      <c r="AL19" s="113" t="s">
        <v>251</v>
      </c>
      <c r="AM19" s="113" t="s">
        <v>251</v>
      </c>
      <c r="AN19" s="113" t="s">
        <v>251</v>
      </c>
      <c r="AO19" s="113" t="s">
        <v>251</v>
      </c>
      <c r="AP19" s="227" t="s">
        <v>251</v>
      </c>
      <c r="AQ19" s="113" t="s">
        <v>251</v>
      </c>
      <c r="AR19" s="113"/>
      <c r="AS19" s="113"/>
      <c r="AT19" s="154"/>
      <c r="AU19" s="154"/>
      <c r="AV19" s="154"/>
      <c r="AW19" s="154"/>
      <c r="AX19" s="154"/>
      <c r="AY19" s="154"/>
      <c r="AZ19" s="154"/>
      <c r="BA19" s="154"/>
    </row>
    <row r="20" spans="2:53" ht="15.75">
      <c r="B20" s="122">
        <v>14</v>
      </c>
      <c r="C20" s="123" t="s">
        <v>176</v>
      </c>
      <c r="D20" s="113" t="s">
        <v>252</v>
      </c>
      <c r="E20" s="113" t="s">
        <v>252</v>
      </c>
      <c r="F20" s="113" t="s">
        <v>252</v>
      </c>
      <c r="G20" s="113" t="s">
        <v>251</v>
      </c>
      <c r="H20" s="113" t="s">
        <v>252</v>
      </c>
      <c r="I20" s="113" t="s">
        <v>252</v>
      </c>
      <c r="J20" s="113" t="s">
        <v>252</v>
      </c>
      <c r="K20" s="113" t="s">
        <v>252</v>
      </c>
      <c r="L20" s="113" t="s">
        <v>251</v>
      </c>
      <c r="M20" s="113" t="s">
        <v>252</v>
      </c>
      <c r="N20" s="113" t="s">
        <v>251</v>
      </c>
      <c r="O20" s="113" t="s">
        <v>251</v>
      </c>
      <c r="P20" s="113" t="s">
        <v>252</v>
      </c>
      <c r="Q20" s="113"/>
      <c r="R20" s="113"/>
      <c r="S20" s="113" t="s">
        <v>251</v>
      </c>
      <c r="T20" s="113" t="s">
        <v>252</v>
      </c>
      <c r="U20" s="113" t="s">
        <v>251</v>
      </c>
      <c r="V20" s="113" t="s">
        <v>251</v>
      </c>
      <c r="W20" s="113" t="s">
        <v>252</v>
      </c>
      <c r="X20" s="113" t="s">
        <v>252</v>
      </c>
      <c r="Y20" s="113" t="s">
        <v>251</v>
      </c>
      <c r="Z20" s="113" t="s">
        <v>251</v>
      </c>
      <c r="AA20" s="113" t="s">
        <v>251</v>
      </c>
      <c r="AB20" s="113" t="s">
        <v>251</v>
      </c>
      <c r="AC20" s="113" t="s">
        <v>251</v>
      </c>
      <c r="AD20" s="113" t="s">
        <v>251</v>
      </c>
      <c r="AE20" s="113" t="s">
        <v>251</v>
      </c>
      <c r="AF20" s="113" t="s">
        <v>251</v>
      </c>
      <c r="AG20" s="113" t="s">
        <v>252</v>
      </c>
      <c r="AH20" s="113" t="s">
        <v>251</v>
      </c>
      <c r="AI20" s="113" t="s">
        <v>251</v>
      </c>
      <c r="AJ20" s="113" t="s">
        <v>251</v>
      </c>
      <c r="AK20" s="113" t="s">
        <v>251</v>
      </c>
      <c r="AL20" s="113" t="s">
        <v>251</v>
      </c>
      <c r="AM20" s="113" t="s">
        <v>251</v>
      </c>
      <c r="AN20" s="113" t="s">
        <v>251</v>
      </c>
      <c r="AO20" s="113" t="s">
        <v>251</v>
      </c>
      <c r="AP20" s="227" t="s">
        <v>251</v>
      </c>
      <c r="AQ20" s="113" t="s">
        <v>251</v>
      </c>
      <c r="AR20" s="113"/>
      <c r="AS20" s="113"/>
      <c r="AT20" s="154"/>
      <c r="AU20" s="154"/>
      <c r="AV20" s="154"/>
      <c r="AW20" s="154"/>
      <c r="AX20" s="154"/>
      <c r="AY20" s="154"/>
      <c r="AZ20" s="154"/>
      <c r="BA20" s="154"/>
    </row>
    <row r="21" spans="2:53" ht="15.75">
      <c r="B21" s="122">
        <v>15</v>
      </c>
      <c r="C21" s="123" t="s">
        <v>177</v>
      </c>
      <c r="D21" s="113" t="s">
        <v>251</v>
      </c>
      <c r="E21" s="113" t="s">
        <v>251</v>
      </c>
      <c r="F21" s="113" t="s">
        <v>251</v>
      </c>
      <c r="G21" s="113" t="s">
        <v>252</v>
      </c>
      <c r="H21" s="113" t="s">
        <v>252</v>
      </c>
      <c r="I21" s="113" t="s">
        <v>251</v>
      </c>
      <c r="J21" s="113" t="s">
        <v>251</v>
      </c>
      <c r="K21" s="113" t="s">
        <v>251</v>
      </c>
      <c r="L21" s="113" t="s">
        <v>251</v>
      </c>
      <c r="M21" s="113" t="s">
        <v>252</v>
      </c>
      <c r="N21" s="113" t="s">
        <v>252</v>
      </c>
      <c r="O21" s="113" t="s">
        <v>251</v>
      </c>
      <c r="P21" s="113" t="s">
        <v>252</v>
      </c>
      <c r="Q21" s="113"/>
      <c r="R21" s="113"/>
      <c r="S21" s="113" t="s">
        <v>251</v>
      </c>
      <c r="T21" s="113" t="s">
        <v>251</v>
      </c>
      <c r="U21" s="113" t="s">
        <v>251</v>
      </c>
      <c r="V21" s="113" t="s">
        <v>251</v>
      </c>
      <c r="W21" s="113" t="s">
        <v>251</v>
      </c>
      <c r="X21" s="113" t="s">
        <v>252</v>
      </c>
      <c r="Y21" s="113" t="s">
        <v>251</v>
      </c>
      <c r="Z21" s="113" t="s">
        <v>251</v>
      </c>
      <c r="AA21" s="113" t="s">
        <v>251</v>
      </c>
      <c r="AB21" s="113" t="s">
        <v>252</v>
      </c>
      <c r="AC21" s="113" t="s">
        <v>252</v>
      </c>
      <c r="AD21" s="113" t="s">
        <v>251</v>
      </c>
      <c r="AE21" s="113" t="s">
        <v>251</v>
      </c>
      <c r="AF21" s="113" t="s">
        <v>251</v>
      </c>
      <c r="AG21" s="113" t="s">
        <v>251</v>
      </c>
      <c r="AH21" s="113" t="s">
        <v>252</v>
      </c>
      <c r="AI21" s="113" t="s">
        <v>252</v>
      </c>
      <c r="AJ21" s="113" t="s">
        <v>252</v>
      </c>
      <c r="AK21" s="113" t="s">
        <v>252</v>
      </c>
      <c r="AL21" s="113" t="s">
        <v>252</v>
      </c>
      <c r="AM21" s="113" t="s">
        <v>252</v>
      </c>
      <c r="AN21" s="113" t="s">
        <v>251</v>
      </c>
      <c r="AO21" s="113" t="s">
        <v>251</v>
      </c>
      <c r="AP21" s="113" t="s">
        <v>251</v>
      </c>
      <c r="AQ21" s="113" t="s">
        <v>251</v>
      </c>
      <c r="AR21" s="113"/>
      <c r="AS21" s="113"/>
      <c r="AT21" s="154"/>
      <c r="AU21" s="154"/>
      <c r="AV21" s="154"/>
      <c r="AW21" s="154"/>
      <c r="AX21" s="154"/>
      <c r="AY21" s="154"/>
      <c r="AZ21" s="154"/>
      <c r="BA21" s="154"/>
    </row>
    <row r="22" spans="2:53" ht="15.75">
      <c r="B22" s="122">
        <v>16</v>
      </c>
      <c r="C22" s="123" t="s">
        <v>178</v>
      </c>
      <c r="D22" s="113" t="s">
        <v>252</v>
      </c>
      <c r="E22" s="113" t="s">
        <v>252</v>
      </c>
      <c r="F22" s="113" t="s">
        <v>252</v>
      </c>
      <c r="G22" s="113" t="s">
        <v>252</v>
      </c>
      <c r="H22" s="113" t="s">
        <v>252</v>
      </c>
      <c r="I22" s="113" t="s">
        <v>252</v>
      </c>
      <c r="J22" s="113" t="s">
        <v>252</v>
      </c>
      <c r="K22" s="113" t="s">
        <v>252</v>
      </c>
      <c r="L22" s="113" t="s">
        <v>252</v>
      </c>
      <c r="M22" s="113" t="s">
        <v>252</v>
      </c>
      <c r="N22" s="113" t="s">
        <v>252</v>
      </c>
      <c r="O22" s="113" t="s">
        <v>252</v>
      </c>
      <c r="P22" s="113" t="s">
        <v>252</v>
      </c>
      <c r="Q22" s="113"/>
      <c r="R22" s="113"/>
      <c r="S22" s="113" t="s">
        <v>252</v>
      </c>
      <c r="T22" s="113" t="s">
        <v>252</v>
      </c>
      <c r="U22" s="113" t="s">
        <v>252</v>
      </c>
      <c r="V22" s="113" t="s">
        <v>252</v>
      </c>
      <c r="W22" s="113" t="s">
        <v>252</v>
      </c>
      <c r="X22" s="113" t="s">
        <v>252</v>
      </c>
      <c r="Y22" s="113" t="s">
        <v>252</v>
      </c>
      <c r="Z22" s="113" t="s">
        <v>252</v>
      </c>
      <c r="AA22" s="113" t="s">
        <v>252</v>
      </c>
      <c r="AB22" s="113" t="s">
        <v>252</v>
      </c>
      <c r="AC22" s="113" t="s">
        <v>252</v>
      </c>
      <c r="AD22" s="113" t="s">
        <v>252</v>
      </c>
      <c r="AE22" s="113" t="s">
        <v>252</v>
      </c>
      <c r="AF22" s="113" t="s">
        <v>252</v>
      </c>
      <c r="AG22" s="113" t="s">
        <v>252</v>
      </c>
      <c r="AH22" s="113" t="s">
        <v>252</v>
      </c>
      <c r="AI22" s="113" t="s">
        <v>252</v>
      </c>
      <c r="AJ22" s="113" t="s">
        <v>252</v>
      </c>
      <c r="AK22" s="113" t="s">
        <v>252</v>
      </c>
      <c r="AL22" s="113" t="s">
        <v>252</v>
      </c>
      <c r="AM22" s="113" t="s">
        <v>252</v>
      </c>
      <c r="AN22" s="113" t="s">
        <v>251</v>
      </c>
      <c r="AO22" s="113" t="s">
        <v>251</v>
      </c>
      <c r="AP22" s="113" t="s">
        <v>251</v>
      </c>
      <c r="AQ22" s="113" t="s">
        <v>251</v>
      </c>
      <c r="AR22" s="113"/>
      <c r="AS22" s="113"/>
      <c r="AT22" s="154"/>
      <c r="AU22" s="154"/>
      <c r="AV22" s="154"/>
      <c r="AW22" s="154"/>
      <c r="AX22" s="154"/>
      <c r="AY22" s="154"/>
      <c r="AZ22" s="154"/>
      <c r="BA22" s="154"/>
    </row>
    <row r="23" spans="2:53" ht="15.75">
      <c r="B23" s="122">
        <v>17</v>
      </c>
      <c r="C23" s="123" t="s">
        <v>179</v>
      </c>
      <c r="D23" s="113" t="s">
        <v>252</v>
      </c>
      <c r="E23" s="113" t="s">
        <v>252</v>
      </c>
      <c r="F23" s="113" t="s">
        <v>252</v>
      </c>
      <c r="G23" s="113" t="s">
        <v>252</v>
      </c>
      <c r="H23" s="113" t="s">
        <v>252</v>
      </c>
      <c r="I23" s="113" t="s">
        <v>252</v>
      </c>
      <c r="J23" s="113" t="s">
        <v>251</v>
      </c>
      <c r="K23" s="113" t="s">
        <v>251</v>
      </c>
      <c r="L23" s="113" t="s">
        <v>251</v>
      </c>
      <c r="M23" s="113" t="s">
        <v>251</v>
      </c>
      <c r="N23" s="113" t="s">
        <v>251</v>
      </c>
      <c r="O23" s="113" t="s">
        <v>251</v>
      </c>
      <c r="P23" s="113" t="s">
        <v>251</v>
      </c>
      <c r="Q23" s="113"/>
      <c r="R23" s="113"/>
      <c r="S23" s="113" t="s">
        <v>251</v>
      </c>
      <c r="T23" s="113" t="s">
        <v>251</v>
      </c>
      <c r="U23" s="113" t="s">
        <v>251</v>
      </c>
      <c r="V23" s="113" t="s">
        <v>251</v>
      </c>
      <c r="W23" s="113" t="s">
        <v>252</v>
      </c>
      <c r="X23" s="113" t="s">
        <v>252</v>
      </c>
      <c r="Y23" s="113" t="s">
        <v>251</v>
      </c>
      <c r="Z23" s="113" t="s">
        <v>251</v>
      </c>
      <c r="AA23" s="113" t="s">
        <v>251</v>
      </c>
      <c r="AB23" s="113" t="s">
        <v>252</v>
      </c>
      <c r="AC23" s="113" t="s">
        <v>252</v>
      </c>
      <c r="AD23" s="113" t="s">
        <v>251</v>
      </c>
      <c r="AE23" s="113" t="s">
        <v>252</v>
      </c>
      <c r="AF23" s="113" t="s">
        <v>252</v>
      </c>
      <c r="AG23" s="113" t="s">
        <v>252</v>
      </c>
      <c r="AH23" s="113" t="s">
        <v>252</v>
      </c>
      <c r="AI23" s="113" t="s">
        <v>252</v>
      </c>
      <c r="AJ23" s="113" t="s">
        <v>252</v>
      </c>
      <c r="AK23" s="113" t="s">
        <v>252</v>
      </c>
      <c r="AL23" s="113" t="s">
        <v>252</v>
      </c>
      <c r="AM23" s="113" t="s">
        <v>252</v>
      </c>
      <c r="AN23" s="113" t="s">
        <v>251</v>
      </c>
      <c r="AO23" s="113" t="s">
        <v>251</v>
      </c>
      <c r="AP23" s="113" t="s">
        <v>251</v>
      </c>
      <c r="AQ23" s="113" t="s">
        <v>251</v>
      </c>
      <c r="AR23" s="113"/>
      <c r="AS23" s="113"/>
      <c r="AT23" s="154"/>
      <c r="AU23" s="154"/>
      <c r="AV23" s="154"/>
      <c r="AW23" s="154"/>
      <c r="AX23" s="154"/>
      <c r="AY23" s="154"/>
      <c r="AZ23" s="154"/>
      <c r="BA23" s="154"/>
    </row>
    <row r="24" spans="2:53" ht="15.75">
      <c r="B24" s="122">
        <v>18</v>
      </c>
      <c r="C24" s="123" t="s">
        <v>180</v>
      </c>
      <c r="D24" s="113" t="s">
        <v>252</v>
      </c>
      <c r="E24" s="113" t="s">
        <v>252</v>
      </c>
      <c r="F24" s="113" t="s">
        <v>252</v>
      </c>
      <c r="G24" s="113" t="s">
        <v>252</v>
      </c>
      <c r="H24" s="113" t="s">
        <v>252</v>
      </c>
      <c r="I24" s="113" t="s">
        <v>252</v>
      </c>
      <c r="J24" s="113" t="s">
        <v>251</v>
      </c>
      <c r="K24" s="113" t="s">
        <v>251</v>
      </c>
      <c r="L24" s="113" t="s">
        <v>251</v>
      </c>
      <c r="M24" s="113" t="s">
        <v>252</v>
      </c>
      <c r="N24" s="113" t="s">
        <v>252</v>
      </c>
      <c r="O24" s="113" t="s">
        <v>252</v>
      </c>
      <c r="P24" s="113" t="s">
        <v>252</v>
      </c>
      <c r="Q24" s="113"/>
      <c r="R24" s="113"/>
      <c r="S24" s="113" t="s">
        <v>251</v>
      </c>
      <c r="T24" s="113" t="s">
        <v>252</v>
      </c>
      <c r="U24" s="113" t="s">
        <v>251</v>
      </c>
      <c r="V24" s="113" t="s">
        <v>251</v>
      </c>
      <c r="W24" s="113" t="s">
        <v>252</v>
      </c>
      <c r="X24" s="113" t="s">
        <v>252</v>
      </c>
      <c r="Y24" s="113" t="s">
        <v>251</v>
      </c>
      <c r="Z24" s="113" t="s">
        <v>251</v>
      </c>
      <c r="AA24" s="113" t="s">
        <v>251</v>
      </c>
      <c r="AB24" s="113" t="s">
        <v>252</v>
      </c>
      <c r="AC24" s="113" t="s">
        <v>252</v>
      </c>
      <c r="AD24" s="113" t="s">
        <v>251</v>
      </c>
      <c r="AE24" s="113" t="s">
        <v>252</v>
      </c>
      <c r="AF24" s="113" t="s">
        <v>252</v>
      </c>
      <c r="AG24" s="113" t="s">
        <v>252</v>
      </c>
      <c r="AH24" s="113" t="s">
        <v>252</v>
      </c>
      <c r="AI24" s="113" t="s">
        <v>252</v>
      </c>
      <c r="AJ24" s="113" t="s">
        <v>252</v>
      </c>
      <c r="AK24" s="113" t="s">
        <v>252</v>
      </c>
      <c r="AL24" s="113" t="s">
        <v>252</v>
      </c>
      <c r="AM24" s="113" t="s">
        <v>252</v>
      </c>
      <c r="AN24" s="113" t="s">
        <v>252</v>
      </c>
      <c r="AO24" s="113" t="s">
        <v>252</v>
      </c>
      <c r="AP24" s="113" t="s">
        <v>252</v>
      </c>
      <c r="AQ24" s="113" t="s">
        <v>251</v>
      </c>
      <c r="AR24" s="113"/>
      <c r="AS24" s="113"/>
      <c r="AT24" s="154"/>
      <c r="AU24" s="154"/>
      <c r="AV24" s="154"/>
      <c r="AW24" s="154"/>
      <c r="AX24" s="154"/>
      <c r="AY24" s="154"/>
      <c r="AZ24" s="154"/>
      <c r="BA24" s="154"/>
    </row>
    <row r="25" spans="2:53" ht="16.5" thickBot="1">
      <c r="B25" s="124">
        <v>19</v>
      </c>
      <c r="C25" s="125" t="s">
        <v>181</v>
      </c>
      <c r="D25" s="114" t="s">
        <v>252</v>
      </c>
      <c r="E25" s="114" t="s">
        <v>252</v>
      </c>
      <c r="F25" s="114" t="s">
        <v>252</v>
      </c>
      <c r="G25" s="114" t="s">
        <v>252</v>
      </c>
      <c r="H25" s="114" t="s">
        <v>252</v>
      </c>
      <c r="I25" s="114" t="s">
        <v>252</v>
      </c>
      <c r="J25" s="114" t="s">
        <v>252</v>
      </c>
      <c r="K25" s="114" t="s">
        <v>252</v>
      </c>
      <c r="L25" s="114" t="s">
        <v>252</v>
      </c>
      <c r="M25" s="114" t="s">
        <v>252</v>
      </c>
      <c r="N25" s="114" t="s">
        <v>252</v>
      </c>
      <c r="O25" s="114" t="s">
        <v>252</v>
      </c>
      <c r="P25" s="114" t="s">
        <v>252</v>
      </c>
      <c r="Q25" s="114"/>
      <c r="R25" s="114"/>
      <c r="S25" s="114" t="s">
        <v>252</v>
      </c>
      <c r="T25" s="114" t="s">
        <v>252</v>
      </c>
      <c r="U25" s="114" t="s">
        <v>252</v>
      </c>
      <c r="V25" s="114" t="s">
        <v>252</v>
      </c>
      <c r="W25" s="114" t="s">
        <v>252</v>
      </c>
      <c r="X25" s="114" t="s">
        <v>252</v>
      </c>
      <c r="Y25" s="114" t="s">
        <v>252</v>
      </c>
      <c r="Z25" s="114" t="s">
        <v>252</v>
      </c>
      <c r="AA25" s="114" t="s">
        <v>252</v>
      </c>
      <c r="AB25" s="114" t="s">
        <v>252</v>
      </c>
      <c r="AC25" s="114" t="s">
        <v>252</v>
      </c>
      <c r="AD25" s="114" t="s">
        <v>252</v>
      </c>
      <c r="AE25" s="113" t="s">
        <v>252</v>
      </c>
      <c r="AF25" s="113" t="s">
        <v>252</v>
      </c>
      <c r="AG25" s="114" t="s">
        <v>252</v>
      </c>
      <c r="AH25" s="114" t="s">
        <v>252</v>
      </c>
      <c r="AI25" s="114" t="s">
        <v>252</v>
      </c>
      <c r="AJ25" s="114" t="s">
        <v>252</v>
      </c>
      <c r="AK25" s="114" t="s">
        <v>252</v>
      </c>
      <c r="AL25" s="114" t="s">
        <v>252</v>
      </c>
      <c r="AM25" s="114" t="s">
        <v>252</v>
      </c>
      <c r="AN25" s="114" t="s">
        <v>252</v>
      </c>
      <c r="AO25" s="114" t="s">
        <v>252</v>
      </c>
      <c r="AP25" s="114" t="s">
        <v>252</v>
      </c>
      <c r="AQ25" s="114" t="s">
        <v>252</v>
      </c>
      <c r="AR25" s="114"/>
      <c r="AS25" s="114"/>
      <c r="AT25" s="154"/>
      <c r="AU25" s="154"/>
      <c r="AV25" s="154"/>
      <c r="AW25" s="154"/>
      <c r="AX25" s="154"/>
      <c r="AY25" s="154"/>
      <c r="AZ25" s="154"/>
      <c r="BA25" s="154"/>
    </row>
    <row r="26" spans="2:53" ht="21" thickBot="1">
      <c r="B26" s="367" t="s">
        <v>254</v>
      </c>
      <c r="C26" s="368"/>
      <c r="D26" s="126" t="str">
        <f>IF(D$27=0,"",IF(D$22="SI","Catastrófico",IF(D$27&lt;6,"Moderado",IF(D$27&lt;12,"Mayor",IF(D$27&lt;20,"Catastrófico","")))))</f>
        <v>Moderado</v>
      </c>
      <c r="E26" s="126" t="str">
        <f aca="true" t="shared" si="0" ref="E26:AS26">IF(E$27=0,"",IF(E$22="SI","Catastrófico",IF(E$27&lt;6,"Moderado",IF(E$27&lt;12,"Mayor",IF(E$27&lt;20,"Catastrófico","")))))</f>
        <v>Moderado</v>
      </c>
      <c r="F26" s="126" t="str">
        <f t="shared" si="0"/>
        <v>Moderado</v>
      </c>
      <c r="G26" s="126" t="str">
        <f t="shared" si="0"/>
        <v>Mayor</v>
      </c>
      <c r="H26" s="126" t="str">
        <f t="shared" si="0"/>
        <v>Mayor</v>
      </c>
      <c r="I26" s="126" t="str">
        <f t="shared" si="0"/>
        <v>Catastrófico</v>
      </c>
      <c r="J26" s="126" t="str">
        <f t="shared" si="0"/>
        <v>Mayor</v>
      </c>
      <c r="K26" s="126" t="str">
        <f t="shared" si="0"/>
        <v>Mayor</v>
      </c>
      <c r="L26" s="126" t="str">
        <f t="shared" si="0"/>
        <v>Mayor</v>
      </c>
      <c r="M26" s="126" t="str">
        <f t="shared" si="0"/>
        <v>Mayor</v>
      </c>
      <c r="N26" s="126" t="str">
        <f t="shared" si="0"/>
        <v>Mayor</v>
      </c>
      <c r="O26" s="126" t="str">
        <f t="shared" si="0"/>
        <v>Mayor</v>
      </c>
      <c r="P26" s="126" t="str">
        <f t="shared" si="0"/>
        <v>Mayor</v>
      </c>
      <c r="Q26" s="126" t="str">
        <f t="shared" si="0"/>
        <v>Moderado</v>
      </c>
      <c r="R26" s="126" t="str">
        <f t="shared" si="0"/>
        <v>Moderado</v>
      </c>
      <c r="S26" s="126" t="str">
        <f t="shared" si="0"/>
        <v>Catastrófico</v>
      </c>
      <c r="T26" s="126" t="str">
        <f t="shared" si="0"/>
        <v>Mayor</v>
      </c>
      <c r="U26" s="126" t="str">
        <f t="shared" si="0"/>
        <v>Catastrófico</v>
      </c>
      <c r="V26" s="126" t="str">
        <f t="shared" si="0"/>
        <v>Catastrófico</v>
      </c>
      <c r="W26" s="126" t="str">
        <f t="shared" si="0"/>
        <v>Mayor</v>
      </c>
      <c r="X26" s="126" t="str">
        <f t="shared" si="0"/>
        <v>Mayor</v>
      </c>
      <c r="Y26" s="126" t="str">
        <f t="shared" si="0"/>
        <v>Catastrófico</v>
      </c>
      <c r="Z26" s="126" t="str">
        <f t="shared" si="0"/>
        <v>Catastrófico</v>
      </c>
      <c r="AA26" s="126" t="str">
        <f t="shared" si="0"/>
        <v>Catastrófico</v>
      </c>
      <c r="AB26" s="126" t="str">
        <f t="shared" si="0"/>
        <v>Mayor</v>
      </c>
      <c r="AC26" s="126" t="str">
        <f t="shared" si="0"/>
        <v>Mayor</v>
      </c>
      <c r="AD26" s="126" t="str">
        <f t="shared" si="0"/>
        <v>Catastrófico</v>
      </c>
      <c r="AE26" s="126" t="str">
        <f t="shared" si="0"/>
        <v>Mayor</v>
      </c>
      <c r="AF26" s="126" t="str">
        <f t="shared" si="0"/>
        <v>Mayor</v>
      </c>
      <c r="AG26" s="126" t="str">
        <f t="shared" si="0"/>
        <v>Mayor</v>
      </c>
      <c r="AH26" s="126" t="str">
        <f t="shared" si="0"/>
        <v>Mayor</v>
      </c>
      <c r="AI26" s="126" t="str">
        <f t="shared" si="0"/>
        <v>Mayor</v>
      </c>
      <c r="AJ26" s="126" t="str">
        <f t="shared" si="0"/>
        <v>Mayor</v>
      </c>
      <c r="AK26" s="126" t="str">
        <f t="shared" si="0"/>
        <v>Mayor</v>
      </c>
      <c r="AL26" s="126" t="str">
        <f t="shared" si="0"/>
        <v>Mayor</v>
      </c>
      <c r="AM26" s="126" t="str">
        <f t="shared" si="0"/>
        <v>Mayor</v>
      </c>
      <c r="AN26" s="126" t="str">
        <f t="shared" si="0"/>
        <v>Catastrófico</v>
      </c>
      <c r="AO26" s="126" t="str">
        <f t="shared" si="0"/>
        <v>Catastrófico</v>
      </c>
      <c r="AP26" s="126" t="str">
        <f t="shared" si="0"/>
        <v>Catastrófico</v>
      </c>
      <c r="AQ26" s="126" t="str">
        <f t="shared" si="0"/>
        <v>Catastrófico</v>
      </c>
      <c r="AR26" s="126">
        <f t="shared" si="0"/>
      </c>
      <c r="AS26" s="126">
        <f t="shared" si="0"/>
      </c>
      <c r="AT26" s="155"/>
      <c r="AU26" s="155"/>
      <c r="AV26" s="155"/>
      <c r="AW26" s="155"/>
      <c r="AX26" s="155"/>
      <c r="AY26" s="155"/>
      <c r="AZ26" s="155"/>
      <c r="BA26" s="155"/>
    </row>
    <row r="27" spans="2:53" ht="15.75">
      <c r="B27" s="363" t="s">
        <v>182</v>
      </c>
      <c r="C27" s="364"/>
      <c r="D27" s="127">
        <f>COUNTIF(D7:D25,"SI")</f>
        <v>5</v>
      </c>
      <c r="E27" s="127">
        <f aca="true" t="shared" si="1" ref="E27:O27">COUNTIF(E7:E25,"SI")</f>
        <v>5</v>
      </c>
      <c r="F27" s="127">
        <f t="shared" si="1"/>
        <v>5</v>
      </c>
      <c r="G27" s="127">
        <f t="shared" si="1"/>
        <v>8</v>
      </c>
      <c r="H27" s="127">
        <f t="shared" si="1"/>
        <v>11</v>
      </c>
      <c r="I27" s="127">
        <f t="shared" si="1"/>
        <v>12</v>
      </c>
      <c r="J27" s="127">
        <f t="shared" si="1"/>
        <v>7</v>
      </c>
      <c r="K27" s="127">
        <f t="shared" si="1"/>
        <v>8</v>
      </c>
      <c r="L27" s="127">
        <f t="shared" si="1"/>
        <v>11</v>
      </c>
      <c r="M27" s="127">
        <f t="shared" si="1"/>
        <v>8</v>
      </c>
      <c r="N27" s="127">
        <f t="shared" si="1"/>
        <v>10</v>
      </c>
      <c r="O27" s="127">
        <f t="shared" si="1"/>
        <v>11</v>
      </c>
      <c r="P27" s="127">
        <f aca="true" t="shared" si="2" ref="P27:AS27">COUNTIF(P7:P25,"SI")</f>
        <v>9</v>
      </c>
      <c r="Q27" s="127">
        <f t="shared" si="2"/>
        <v>1</v>
      </c>
      <c r="R27" s="127">
        <f t="shared" si="2"/>
        <v>1</v>
      </c>
      <c r="S27" s="127">
        <f t="shared" si="2"/>
        <v>17</v>
      </c>
      <c r="T27" s="127">
        <f t="shared" si="2"/>
        <v>6</v>
      </c>
      <c r="U27" s="127">
        <f t="shared" si="2"/>
        <v>16</v>
      </c>
      <c r="V27" s="127">
        <f t="shared" si="2"/>
        <v>16</v>
      </c>
      <c r="W27" s="127">
        <f t="shared" si="2"/>
        <v>11</v>
      </c>
      <c r="X27" s="127">
        <f t="shared" si="2"/>
        <v>8</v>
      </c>
      <c r="Y27" s="127">
        <f t="shared" si="2"/>
        <v>12</v>
      </c>
      <c r="Z27" s="127">
        <f t="shared" si="2"/>
        <v>15</v>
      </c>
      <c r="AA27" s="127">
        <f t="shared" si="2"/>
        <v>15</v>
      </c>
      <c r="AB27" s="127">
        <f t="shared" si="2"/>
        <v>8</v>
      </c>
      <c r="AC27" s="127">
        <f t="shared" si="2"/>
        <v>8</v>
      </c>
      <c r="AD27" s="127">
        <f t="shared" si="2"/>
        <v>16</v>
      </c>
      <c r="AE27" s="127">
        <f t="shared" si="2"/>
        <v>11</v>
      </c>
      <c r="AF27" s="127">
        <f t="shared" si="2"/>
        <v>11</v>
      </c>
      <c r="AG27" s="127">
        <f t="shared" si="2"/>
        <v>8</v>
      </c>
      <c r="AH27" s="127">
        <f t="shared" si="2"/>
        <v>10</v>
      </c>
      <c r="AI27" s="127">
        <f t="shared" si="2"/>
        <v>10</v>
      </c>
      <c r="AJ27" s="127">
        <f t="shared" si="2"/>
        <v>9</v>
      </c>
      <c r="AK27" s="127">
        <f t="shared" si="2"/>
        <v>9</v>
      </c>
      <c r="AL27" s="127">
        <f t="shared" si="2"/>
        <v>10</v>
      </c>
      <c r="AM27" s="127">
        <f t="shared" si="2"/>
        <v>10</v>
      </c>
      <c r="AN27" s="127">
        <f t="shared" si="2"/>
        <v>17</v>
      </c>
      <c r="AO27" s="127">
        <f t="shared" si="2"/>
        <v>17</v>
      </c>
      <c r="AP27" s="127">
        <f t="shared" si="2"/>
        <v>17</v>
      </c>
      <c r="AQ27" s="127">
        <f t="shared" si="2"/>
        <v>17</v>
      </c>
      <c r="AR27" s="127">
        <f t="shared" si="2"/>
        <v>0</v>
      </c>
      <c r="AS27" s="127">
        <f t="shared" si="2"/>
        <v>0</v>
      </c>
      <c r="AT27" s="156"/>
      <c r="AU27" s="156"/>
      <c r="AV27" s="156"/>
      <c r="AW27" s="156"/>
      <c r="AX27" s="156"/>
      <c r="AY27" s="156"/>
      <c r="AZ27" s="156"/>
      <c r="BA27" s="156"/>
    </row>
    <row r="28" spans="2:53" ht="16.5" thickBot="1">
      <c r="B28" s="365" t="s">
        <v>183</v>
      </c>
      <c r="C28" s="366"/>
      <c r="D28" s="128">
        <f>COUNTIF(D8:D27,"NO")</f>
        <v>14</v>
      </c>
      <c r="E28" s="128">
        <f aca="true" t="shared" si="3" ref="E28:O28">COUNTIF(E8:E27,"NO")</f>
        <v>14</v>
      </c>
      <c r="F28" s="128">
        <f t="shared" si="3"/>
        <v>14</v>
      </c>
      <c r="G28" s="128">
        <f t="shared" si="3"/>
        <v>11</v>
      </c>
      <c r="H28" s="128">
        <f t="shared" si="3"/>
        <v>8</v>
      </c>
      <c r="I28" s="128">
        <f t="shared" si="3"/>
        <v>7</v>
      </c>
      <c r="J28" s="128">
        <f t="shared" si="3"/>
        <v>12</v>
      </c>
      <c r="K28" s="128">
        <f t="shared" si="3"/>
        <v>11</v>
      </c>
      <c r="L28" s="128">
        <f t="shared" si="3"/>
        <v>8</v>
      </c>
      <c r="M28" s="128">
        <f t="shared" si="3"/>
        <v>11</v>
      </c>
      <c r="N28" s="128">
        <f t="shared" si="3"/>
        <v>9</v>
      </c>
      <c r="O28" s="128">
        <f t="shared" si="3"/>
        <v>8</v>
      </c>
      <c r="P28" s="128">
        <f aca="true" t="shared" si="4" ref="P28:AS28">COUNTIF(P8:P27,"NO")</f>
        <v>10</v>
      </c>
      <c r="Q28" s="128">
        <f t="shared" si="4"/>
        <v>0</v>
      </c>
      <c r="R28" s="128">
        <f t="shared" si="4"/>
        <v>0</v>
      </c>
      <c r="S28" s="128">
        <f t="shared" si="4"/>
        <v>2</v>
      </c>
      <c r="T28" s="128">
        <f t="shared" si="4"/>
        <v>13</v>
      </c>
      <c r="U28" s="128">
        <f t="shared" si="4"/>
        <v>3</v>
      </c>
      <c r="V28" s="128">
        <f t="shared" si="4"/>
        <v>3</v>
      </c>
      <c r="W28" s="128">
        <f t="shared" si="4"/>
        <v>8</v>
      </c>
      <c r="X28" s="128">
        <f t="shared" si="4"/>
        <v>11</v>
      </c>
      <c r="Y28" s="128">
        <f t="shared" si="4"/>
        <v>6</v>
      </c>
      <c r="Z28" s="128">
        <f t="shared" si="4"/>
        <v>4</v>
      </c>
      <c r="AA28" s="128">
        <f t="shared" si="4"/>
        <v>4</v>
      </c>
      <c r="AB28" s="128">
        <f t="shared" si="4"/>
        <v>11</v>
      </c>
      <c r="AC28" s="128">
        <f t="shared" si="4"/>
        <v>11</v>
      </c>
      <c r="AD28" s="128">
        <f t="shared" si="4"/>
        <v>3</v>
      </c>
      <c r="AE28" s="128">
        <f t="shared" si="4"/>
        <v>8</v>
      </c>
      <c r="AF28" s="128">
        <f t="shared" si="4"/>
        <v>8</v>
      </c>
      <c r="AG28" s="128">
        <f t="shared" si="4"/>
        <v>11</v>
      </c>
      <c r="AH28" s="128">
        <f t="shared" si="4"/>
        <v>9</v>
      </c>
      <c r="AI28" s="128">
        <f t="shared" si="4"/>
        <v>9</v>
      </c>
      <c r="AJ28" s="128">
        <f t="shared" si="4"/>
        <v>10</v>
      </c>
      <c r="AK28" s="128">
        <f t="shared" si="4"/>
        <v>10</v>
      </c>
      <c r="AL28" s="128">
        <f t="shared" si="4"/>
        <v>9</v>
      </c>
      <c r="AM28" s="128">
        <f t="shared" si="4"/>
        <v>9</v>
      </c>
      <c r="AN28" s="128">
        <f t="shared" si="4"/>
        <v>2</v>
      </c>
      <c r="AO28" s="128">
        <f t="shared" si="4"/>
        <v>2</v>
      </c>
      <c r="AP28" s="128">
        <f t="shared" si="4"/>
        <v>2</v>
      </c>
      <c r="AQ28" s="128">
        <f t="shared" si="4"/>
        <v>2</v>
      </c>
      <c r="AR28" s="128">
        <f t="shared" si="4"/>
        <v>0</v>
      </c>
      <c r="AS28" s="128">
        <f t="shared" si="4"/>
        <v>0</v>
      </c>
      <c r="AT28" s="156"/>
      <c r="AU28" s="156"/>
      <c r="AV28" s="156"/>
      <c r="AW28" s="156"/>
      <c r="AX28" s="156"/>
      <c r="AY28" s="156"/>
      <c r="AZ28" s="156"/>
      <c r="BA28" s="156"/>
    </row>
    <row r="29" ht="15.75" thickBot="1"/>
    <row r="30" spans="2:5" ht="91.5" customHeight="1" thickBot="1">
      <c r="B30" s="351" t="s">
        <v>184</v>
      </c>
      <c r="C30" s="352"/>
      <c r="D30" s="352"/>
      <c r="E30" s="353"/>
    </row>
    <row r="31" spans="2:5" ht="15">
      <c r="B31" s="129" t="s">
        <v>185</v>
      </c>
      <c r="C31" s="354" t="s">
        <v>186</v>
      </c>
      <c r="D31" s="355"/>
      <c r="E31" s="356"/>
    </row>
    <row r="32" spans="2:5" ht="15">
      <c r="B32" s="130" t="s">
        <v>187</v>
      </c>
      <c r="C32" s="357" t="s">
        <v>188</v>
      </c>
      <c r="D32" s="358"/>
      <c r="E32" s="359"/>
    </row>
    <row r="33" spans="2:5" ht="22.5">
      <c r="B33" s="130" t="s">
        <v>189</v>
      </c>
      <c r="C33" s="357" t="s">
        <v>190</v>
      </c>
      <c r="D33" s="358"/>
      <c r="E33" s="359"/>
    </row>
    <row r="35" spans="1:13" ht="15">
      <c r="A35" s="376" t="s">
        <v>241</v>
      </c>
      <c r="B35" s="376"/>
      <c r="C35" s="376"/>
      <c r="D35" s="376"/>
      <c r="E35" s="376"/>
      <c r="F35" s="376" t="s">
        <v>231</v>
      </c>
      <c r="G35" s="376"/>
      <c r="H35" s="99"/>
      <c r="I35" s="99"/>
      <c r="J35" s="376" t="s">
        <v>232</v>
      </c>
      <c r="K35" s="376"/>
      <c r="L35" s="376" t="s">
        <v>233</v>
      </c>
      <c r="M35" s="376"/>
    </row>
    <row r="36" spans="1:13" ht="15">
      <c r="A36" s="100" t="s">
        <v>234</v>
      </c>
      <c r="B36" s="99" t="s">
        <v>235</v>
      </c>
      <c r="C36" s="376" t="s">
        <v>236</v>
      </c>
      <c r="D36" s="376"/>
      <c r="E36" s="376"/>
      <c r="F36" s="377" t="s">
        <v>237</v>
      </c>
      <c r="G36" s="377"/>
      <c r="H36" s="101"/>
      <c r="I36" s="101"/>
      <c r="J36" s="377" t="s">
        <v>237</v>
      </c>
      <c r="K36" s="377"/>
      <c r="L36" s="377" t="s">
        <v>237</v>
      </c>
      <c r="M36" s="377"/>
    </row>
    <row r="37" spans="1:13" ht="15">
      <c r="A37" s="378"/>
      <c r="B37" s="379"/>
      <c r="C37" s="381"/>
      <c r="D37" s="381"/>
      <c r="E37" s="381"/>
      <c r="F37" s="377" t="s">
        <v>238</v>
      </c>
      <c r="G37" s="377"/>
      <c r="H37" s="101"/>
      <c r="I37" s="101"/>
      <c r="J37" s="377" t="s">
        <v>238</v>
      </c>
      <c r="K37" s="377"/>
      <c r="L37" s="377" t="s">
        <v>239</v>
      </c>
      <c r="M37" s="377"/>
    </row>
    <row r="38" spans="1:13" ht="15">
      <c r="A38" s="378"/>
      <c r="B38" s="380"/>
      <c r="C38" s="381"/>
      <c r="D38" s="381"/>
      <c r="E38" s="381"/>
      <c r="F38" s="377" t="s">
        <v>240</v>
      </c>
      <c r="G38" s="377"/>
      <c r="H38" s="101"/>
      <c r="I38" s="101"/>
      <c r="J38" s="377" t="s">
        <v>240</v>
      </c>
      <c r="K38" s="377"/>
      <c r="L38" s="377" t="s">
        <v>240</v>
      </c>
      <c r="M38" s="377"/>
    </row>
  </sheetData>
  <sheetProtection sheet="1" objects="1" scenarios="1" formatCells="0" formatColumns="0" formatRows="0" insertColumns="0" insertRows="0" insertHyperlinks="0" deleteColumns="0" deleteRows="0" sort="0" autoFilter="0" pivotTables="0"/>
  <protectedRanges>
    <protectedRange sqref="F36:M38" name="Rango4_2"/>
    <protectedRange sqref="A37:E37" name="Rango3_2"/>
  </protectedRanges>
  <mergeCells count="30">
    <mergeCell ref="L37:M37"/>
    <mergeCell ref="F38:G38"/>
    <mergeCell ref="J38:K38"/>
    <mergeCell ref="L38:M38"/>
    <mergeCell ref="A37:A38"/>
    <mergeCell ref="B37:B38"/>
    <mergeCell ref="C37:E38"/>
    <mergeCell ref="F37:G37"/>
    <mergeCell ref="J37:K37"/>
    <mergeCell ref="A35:E35"/>
    <mergeCell ref="F35:G35"/>
    <mergeCell ref="J35:K35"/>
    <mergeCell ref="L35:M35"/>
    <mergeCell ref="C36:E36"/>
    <mergeCell ref="F36:G36"/>
    <mergeCell ref="J36:K36"/>
    <mergeCell ref="L36:M36"/>
    <mergeCell ref="N1:O1"/>
    <mergeCell ref="K1:M1"/>
    <mergeCell ref="C1:J1"/>
    <mergeCell ref="C3:O3"/>
    <mergeCell ref="A1:B1"/>
    <mergeCell ref="B30:E30"/>
    <mergeCell ref="C31:E31"/>
    <mergeCell ref="C32:E32"/>
    <mergeCell ref="C33:E33"/>
    <mergeCell ref="D4:O4"/>
    <mergeCell ref="B27:C27"/>
    <mergeCell ref="B28:C28"/>
    <mergeCell ref="B26:C26"/>
  </mergeCells>
  <conditionalFormatting sqref="B30">
    <cfRule type="cellIs" priority="19" dxfId="37"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9">
      <selection activeCell="A15" sqref="A15"/>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71" t="s">
        <v>123</v>
      </c>
      <c r="D1" s="1" t="s">
        <v>195</v>
      </c>
      <c r="E1" s="1" t="s">
        <v>1</v>
      </c>
      <c r="F1" s="1" t="s">
        <v>95</v>
      </c>
      <c r="G1" s="1" t="s">
        <v>13</v>
      </c>
      <c r="H1" s="6" t="s">
        <v>2</v>
      </c>
      <c r="I1" t="s">
        <v>6</v>
      </c>
      <c r="J1" s="6" t="s">
        <v>7</v>
      </c>
      <c r="K1" s="6" t="s">
        <v>8</v>
      </c>
      <c r="L1" s="6" t="s">
        <v>9</v>
      </c>
      <c r="M1" s="6" t="s">
        <v>10</v>
      </c>
      <c r="N1" s="6" t="s">
        <v>4</v>
      </c>
      <c r="O1" s="6" t="s">
        <v>5</v>
      </c>
      <c r="P1" s="2" t="s">
        <v>14</v>
      </c>
      <c r="Q1" s="9"/>
      <c r="R1" s="9"/>
      <c r="S1" s="11" t="s">
        <v>47</v>
      </c>
      <c r="T1" s="11" t="s">
        <v>15</v>
      </c>
      <c r="U1" s="11" t="s">
        <v>16</v>
      </c>
      <c r="V1" s="11" t="s">
        <v>17</v>
      </c>
      <c r="W1" s="11" t="s">
        <v>18</v>
      </c>
      <c r="AB1" s="383" t="s">
        <v>60</v>
      </c>
      <c r="AC1" s="384"/>
      <c r="AD1" s="384"/>
      <c r="AE1" s="385"/>
      <c r="AG1" s="390" t="s">
        <v>121</v>
      </c>
      <c r="AH1" s="391"/>
      <c r="AI1" s="391"/>
      <c r="AN1" s="392" t="s">
        <v>98</v>
      </c>
      <c r="AO1" s="393"/>
      <c r="AP1" s="393"/>
      <c r="AQ1" s="393"/>
      <c r="AR1" s="394"/>
      <c r="AX1" s="2" t="s">
        <v>250</v>
      </c>
    </row>
    <row r="2" spans="1:50" ht="31.5" thickBot="1" thickTop="1">
      <c r="A2" s="77" t="s">
        <v>266</v>
      </c>
      <c r="B2" s="3" t="s">
        <v>19</v>
      </c>
      <c r="C2" s="81" t="s">
        <v>124</v>
      </c>
      <c r="D2" s="5" t="s">
        <v>196</v>
      </c>
      <c r="E2" t="s">
        <v>209</v>
      </c>
      <c r="F2" s="25" t="s">
        <v>69</v>
      </c>
      <c r="G2" t="s">
        <v>53</v>
      </c>
      <c r="H2" s="7" t="s">
        <v>62</v>
      </c>
      <c r="I2" t="s">
        <v>80</v>
      </c>
      <c r="J2" s="7" t="s">
        <v>83</v>
      </c>
      <c r="K2" s="7" t="s">
        <v>85</v>
      </c>
      <c r="L2" s="7" t="s">
        <v>87</v>
      </c>
      <c r="M2" s="7" t="s">
        <v>89</v>
      </c>
      <c r="N2" s="7" t="s">
        <v>28</v>
      </c>
      <c r="O2" s="7" t="s">
        <v>93</v>
      </c>
      <c r="P2" t="s">
        <v>20</v>
      </c>
      <c r="Q2" s="9"/>
      <c r="R2" s="9"/>
      <c r="S2" s="9" t="str">
        <f>MID(ADDRESS(ROW(S1),COLUMN(S1),4),1,1)</f>
        <v>S</v>
      </c>
      <c r="T2" s="9" t="str">
        <f>MID(ADDRESS(ROW(T1),COLUMN(T1),4),1,1)</f>
        <v>T</v>
      </c>
      <c r="U2" s="9" t="str">
        <f>MID(ADDRESS(ROW(U1),COLUMN(U1),4),1,1)</f>
        <v>U</v>
      </c>
      <c r="V2" s="9" t="str">
        <f>MID(ADDRESS(ROW(V1),COLUMN(V1),4),1,1)</f>
        <v>V</v>
      </c>
      <c r="W2" s="9" t="str">
        <f>MID(ADDRESS(ROW(W1),COLUMN(W1),4),1,1)</f>
        <v>W</v>
      </c>
      <c r="AB2" s="41" t="s">
        <v>61</v>
      </c>
      <c r="AC2" s="21" t="s">
        <v>96</v>
      </c>
      <c r="AD2" s="21" t="s">
        <v>9</v>
      </c>
      <c r="AE2" s="34" t="s">
        <v>97</v>
      </c>
      <c r="AG2" s="21" t="s">
        <v>77</v>
      </c>
      <c r="AH2" s="21" t="s">
        <v>62</v>
      </c>
      <c r="AI2" s="21" t="s">
        <v>71</v>
      </c>
      <c r="AN2" s="395" t="s">
        <v>99</v>
      </c>
      <c r="AO2" s="396"/>
      <c r="AP2" s="396"/>
      <c r="AQ2" s="73" t="s">
        <v>100</v>
      </c>
      <c r="AR2" s="55" t="s">
        <v>101</v>
      </c>
      <c r="AX2" t="s">
        <v>251</v>
      </c>
    </row>
    <row r="3" spans="1:50" ht="45">
      <c r="A3" s="77" t="s">
        <v>267</v>
      </c>
      <c r="B3" s="3" t="s">
        <v>21</v>
      </c>
      <c r="C3" s="81" t="s">
        <v>125</v>
      </c>
      <c r="D3" s="5" t="s">
        <v>197</v>
      </c>
      <c r="E3" t="s">
        <v>210</v>
      </c>
      <c r="F3" s="40" t="s">
        <v>75</v>
      </c>
      <c r="G3" t="s">
        <v>54</v>
      </c>
      <c r="H3" s="8" t="s">
        <v>0</v>
      </c>
      <c r="I3" t="s">
        <v>81</v>
      </c>
      <c r="J3" s="8" t="s">
        <v>84</v>
      </c>
      <c r="K3" s="8" t="s">
        <v>86</v>
      </c>
      <c r="L3" s="8" t="s">
        <v>88</v>
      </c>
      <c r="M3" s="8" t="s">
        <v>90</v>
      </c>
      <c r="N3" s="8" t="s">
        <v>26</v>
      </c>
      <c r="O3" s="8" t="s">
        <v>94</v>
      </c>
      <c r="P3" t="s">
        <v>22</v>
      </c>
      <c r="Q3" s="11" t="s">
        <v>48</v>
      </c>
      <c r="R3" s="9">
        <f>ROW(Q3)</f>
        <v>3</v>
      </c>
      <c r="S3" s="10" t="s">
        <v>23</v>
      </c>
      <c r="T3" s="10" t="s">
        <v>23</v>
      </c>
      <c r="U3" s="10" t="s">
        <v>23</v>
      </c>
      <c r="V3" s="10" t="s">
        <v>23</v>
      </c>
      <c r="W3" s="10" t="s">
        <v>24</v>
      </c>
      <c r="Y3" s="12" t="s">
        <v>24</v>
      </c>
      <c r="AB3" s="42" t="s">
        <v>63</v>
      </c>
      <c r="AC3" s="22">
        <v>0.2</v>
      </c>
      <c r="AD3" s="9">
        <v>2</v>
      </c>
      <c r="AE3" s="43" t="s">
        <v>51</v>
      </c>
      <c r="AG3" s="9">
        <v>25</v>
      </c>
      <c r="AH3" s="9" t="str">
        <f>VLOOKUP(AI3,datos!$AC$2:$AE$7,3,0)</f>
        <v>Media</v>
      </c>
      <c r="AI3" s="52">
        <f>+IF(OR(AG3="",AG3=0),"",IF(AG3&lt;=datos!$AD$3,datos!$AC$3,IF(AND(AG3&gt;datos!$AD$3,AG3&lt;=datos!$AD$4),datos!$AC$4,IF(AND(AG3&gt;datos!$AD$4,AG3&lt;=datos!$AD$5),datos!$AC$5,IF(AND(AG3&gt;datos!$AD$5,AG3&lt;=datos!$AD$6),datos!$AC$6,IF(AG3&gt;datos!$AD$7,datos!$AC$7,0))))))</f>
        <v>0.6</v>
      </c>
      <c r="AN3" s="397" t="s">
        <v>102</v>
      </c>
      <c r="AO3" s="399" t="s">
        <v>6</v>
      </c>
      <c r="AP3" s="74" t="s">
        <v>80</v>
      </c>
      <c r="AQ3" s="56" t="s">
        <v>103</v>
      </c>
      <c r="AR3" s="57">
        <v>0.25</v>
      </c>
      <c r="AT3" t="s">
        <v>118</v>
      </c>
      <c r="AU3" t="s">
        <v>119</v>
      </c>
      <c r="AV3" t="s">
        <v>117</v>
      </c>
      <c r="AX3" t="s">
        <v>252</v>
      </c>
    </row>
    <row r="4" spans="1:48" ht="31.5">
      <c r="A4" s="77" t="s">
        <v>268</v>
      </c>
      <c r="B4" s="3" t="s">
        <v>25</v>
      </c>
      <c r="C4" s="81" t="s">
        <v>126</v>
      </c>
      <c r="D4" s="5" t="s">
        <v>198</v>
      </c>
      <c r="E4" t="s">
        <v>211</v>
      </c>
      <c r="F4" s="40" t="s">
        <v>76</v>
      </c>
      <c r="G4" t="s">
        <v>55</v>
      </c>
      <c r="I4" t="s">
        <v>82</v>
      </c>
      <c r="N4" s="7" t="s">
        <v>91</v>
      </c>
      <c r="P4" t="s">
        <v>26</v>
      </c>
      <c r="Q4" s="11" t="s">
        <v>49</v>
      </c>
      <c r="R4" s="9">
        <f>ROW(Q4)</f>
        <v>4</v>
      </c>
      <c r="S4" s="10" t="s">
        <v>16</v>
      </c>
      <c r="T4" s="10" t="s">
        <v>16</v>
      </c>
      <c r="U4" s="10" t="s">
        <v>23</v>
      </c>
      <c r="V4" s="10" t="s">
        <v>23</v>
      </c>
      <c r="W4" s="10" t="s">
        <v>24</v>
      </c>
      <c r="Y4" s="13" t="s">
        <v>23</v>
      </c>
      <c r="AB4" s="42" t="s">
        <v>64</v>
      </c>
      <c r="AC4" s="22">
        <v>0.4</v>
      </c>
      <c r="AD4" s="9">
        <v>24</v>
      </c>
      <c r="AE4" s="44" t="s">
        <v>50</v>
      </c>
      <c r="AH4" s="21" t="s">
        <v>71</v>
      </c>
      <c r="AI4" s="21" t="s">
        <v>122</v>
      </c>
      <c r="AN4" s="398"/>
      <c r="AO4" s="400"/>
      <c r="AP4" s="75" t="s">
        <v>81</v>
      </c>
      <c r="AQ4" s="58" t="s">
        <v>104</v>
      </c>
      <c r="AR4" s="59">
        <v>0.15</v>
      </c>
      <c r="AT4" t="s">
        <v>82</v>
      </c>
      <c r="AU4" t="s">
        <v>83</v>
      </c>
      <c r="AV4" s="63">
        <f>IF(AT4="",0,VLOOKUP(AT4,datos!$AP$3:$AR$7,3,0))+IF(AU4="",0,VLOOKUP(AU4,datos!$AP$3:$AR$7,3,0))</f>
        <v>0.35</v>
      </c>
    </row>
    <row r="5" spans="1:44" ht="32.25" thickBot="1">
      <c r="A5" s="77" t="s">
        <v>269</v>
      </c>
      <c r="B5" s="3" t="s">
        <v>27</v>
      </c>
      <c r="C5" s="81" t="s">
        <v>127</v>
      </c>
      <c r="D5" s="5" t="s">
        <v>199</v>
      </c>
      <c r="E5" t="s">
        <v>56</v>
      </c>
      <c r="F5" s="40" t="s">
        <v>72</v>
      </c>
      <c r="G5" s="5"/>
      <c r="H5" s="5"/>
      <c r="N5" s="8" t="s">
        <v>92</v>
      </c>
      <c r="Q5" s="11" t="s">
        <v>52</v>
      </c>
      <c r="R5" s="9">
        <f>ROW(Q5)</f>
        <v>5</v>
      </c>
      <c r="S5" s="10" t="s">
        <v>16</v>
      </c>
      <c r="T5" s="10" t="s">
        <v>16</v>
      </c>
      <c r="U5" s="10" t="s">
        <v>16</v>
      </c>
      <c r="V5" s="10" t="s">
        <v>23</v>
      </c>
      <c r="W5" s="10" t="s">
        <v>24</v>
      </c>
      <c r="Y5" s="14" t="s">
        <v>16</v>
      </c>
      <c r="AB5" s="42" t="s">
        <v>65</v>
      </c>
      <c r="AC5" s="22">
        <v>0.6</v>
      </c>
      <c r="AD5" s="9">
        <v>500</v>
      </c>
      <c r="AE5" s="45" t="s">
        <v>52</v>
      </c>
      <c r="AH5" s="64" t="str">
        <f>+IF(AI5&lt;=datos!$AC$3,datos!$AE$3,IF(AI5&lt;=datos!$AC$4,datos!$AE$4,IF(AI5&lt;=datos!$AC$5,datos!$AE$5,IF(AI5&lt;=datos!$AC$6,datos!$AE$6,IF(AI5&lt;=datos!$AC$7,datos!$AE$7,"")))))</f>
        <v>Baja</v>
      </c>
      <c r="AI5" s="64">
        <v>0.36</v>
      </c>
      <c r="AN5" s="398"/>
      <c r="AO5" s="400"/>
      <c r="AP5" s="75" t="s">
        <v>82</v>
      </c>
      <c r="AQ5" s="58" t="s">
        <v>105</v>
      </c>
      <c r="AR5" s="59">
        <v>0.1</v>
      </c>
    </row>
    <row r="6" spans="1:47" ht="47.25">
      <c r="A6" s="77"/>
      <c r="B6" s="3" t="s">
        <v>30</v>
      </c>
      <c r="C6" s="81" t="s">
        <v>128</v>
      </c>
      <c r="D6" s="5" t="s">
        <v>200</v>
      </c>
      <c r="E6" t="s">
        <v>57</v>
      </c>
      <c r="F6" s="40" t="s">
        <v>73</v>
      </c>
      <c r="G6" s="5"/>
      <c r="H6" s="5"/>
      <c r="Q6" s="11" t="s">
        <v>50</v>
      </c>
      <c r="R6" s="9">
        <f>ROW(Q6)</f>
        <v>6</v>
      </c>
      <c r="S6" s="10" t="s">
        <v>29</v>
      </c>
      <c r="T6" s="10" t="s">
        <v>16</v>
      </c>
      <c r="U6" s="10" t="s">
        <v>16</v>
      </c>
      <c r="V6" s="10" t="s">
        <v>23</v>
      </c>
      <c r="W6" s="10" t="s">
        <v>24</v>
      </c>
      <c r="Y6" s="15" t="s">
        <v>29</v>
      </c>
      <c r="AB6" s="42" t="s">
        <v>66</v>
      </c>
      <c r="AC6" s="22">
        <v>0.8</v>
      </c>
      <c r="AD6" s="9">
        <v>5000</v>
      </c>
      <c r="AE6" s="46" t="s">
        <v>49</v>
      </c>
      <c r="AN6" s="398"/>
      <c r="AO6" s="400" t="s">
        <v>7</v>
      </c>
      <c r="AP6" s="75" t="s">
        <v>83</v>
      </c>
      <c r="AQ6" s="58" t="s">
        <v>106</v>
      </c>
      <c r="AR6" s="59">
        <v>0.25</v>
      </c>
      <c r="AT6" s="79" t="s">
        <v>6</v>
      </c>
      <c r="AU6" s="80" t="s">
        <v>2</v>
      </c>
    </row>
    <row r="7" spans="1:47" ht="30.75" thickBot="1">
      <c r="A7" s="4"/>
      <c r="B7" s="3" t="s">
        <v>31</v>
      </c>
      <c r="C7" s="81" t="s">
        <v>129</v>
      </c>
      <c r="D7" s="5" t="s">
        <v>201</v>
      </c>
      <c r="E7" t="s">
        <v>58</v>
      </c>
      <c r="F7" s="40" t="s">
        <v>74</v>
      </c>
      <c r="G7" s="5"/>
      <c r="H7" s="5"/>
      <c r="Q7" s="11" t="s">
        <v>51</v>
      </c>
      <c r="R7" s="9">
        <f>ROW(Q7)</f>
        <v>7</v>
      </c>
      <c r="S7" s="10" t="s">
        <v>29</v>
      </c>
      <c r="T7" s="10" t="s">
        <v>29</v>
      </c>
      <c r="U7" s="10" t="s">
        <v>16</v>
      </c>
      <c r="V7" s="10" t="s">
        <v>23</v>
      </c>
      <c r="W7" s="10" t="s">
        <v>24</v>
      </c>
      <c r="AB7" s="47" t="s">
        <v>67</v>
      </c>
      <c r="AC7" s="35">
        <v>1</v>
      </c>
      <c r="AD7" s="48">
        <v>5000</v>
      </c>
      <c r="AE7" s="49" t="s">
        <v>48</v>
      </c>
      <c r="AN7" s="398"/>
      <c r="AO7" s="400"/>
      <c r="AP7" s="75" t="s">
        <v>84</v>
      </c>
      <c r="AQ7" s="58" t="s">
        <v>107</v>
      </c>
      <c r="AR7" s="59">
        <v>0.15</v>
      </c>
      <c r="AT7" s="65" t="s">
        <v>80</v>
      </c>
      <c r="AU7" s="67" t="s">
        <v>62</v>
      </c>
    </row>
    <row r="8" spans="1:47" ht="32.25" thickBot="1">
      <c r="A8" s="4"/>
      <c r="B8" s="3" t="s">
        <v>32</v>
      </c>
      <c r="C8" s="81" t="s">
        <v>130</v>
      </c>
      <c r="D8" s="5" t="s">
        <v>202</v>
      </c>
      <c r="E8" t="s">
        <v>59</v>
      </c>
      <c r="F8" s="25" t="s">
        <v>70</v>
      </c>
      <c r="G8" s="5"/>
      <c r="H8" s="5"/>
      <c r="AN8" s="398" t="s">
        <v>108</v>
      </c>
      <c r="AO8" s="400" t="s">
        <v>8</v>
      </c>
      <c r="AP8" s="75" t="s">
        <v>85</v>
      </c>
      <c r="AQ8" s="58" t="s">
        <v>109</v>
      </c>
      <c r="AR8" s="60" t="s">
        <v>110</v>
      </c>
      <c r="AT8" s="65" t="s">
        <v>81</v>
      </c>
      <c r="AU8" s="67" t="s">
        <v>62</v>
      </c>
    </row>
    <row r="9" spans="1:47" ht="48" thickBot="1">
      <c r="A9" s="4"/>
      <c r="B9" s="3" t="s">
        <v>33</v>
      </c>
      <c r="C9" s="82" t="s">
        <v>131</v>
      </c>
      <c r="D9" s="5" t="s">
        <v>203</v>
      </c>
      <c r="E9" s="3"/>
      <c r="F9" s="78" t="s">
        <v>157</v>
      </c>
      <c r="G9" s="5"/>
      <c r="H9" s="5"/>
      <c r="S9" s="386" t="s">
        <v>34</v>
      </c>
      <c r="T9" s="386"/>
      <c r="U9" s="386"/>
      <c r="AB9" s="387" t="s">
        <v>68</v>
      </c>
      <c r="AC9" s="388"/>
      <c r="AD9" s="389"/>
      <c r="AN9" s="398"/>
      <c r="AO9" s="400"/>
      <c r="AP9" s="75" t="s">
        <v>86</v>
      </c>
      <c r="AQ9" s="58" t="s">
        <v>111</v>
      </c>
      <c r="AR9" s="60" t="s">
        <v>110</v>
      </c>
      <c r="AT9" s="66" t="s">
        <v>82</v>
      </c>
      <c r="AU9" s="68" t="s">
        <v>0</v>
      </c>
    </row>
    <row r="10" spans="1:44" ht="15" customHeight="1">
      <c r="A10" s="4"/>
      <c r="B10" s="3" t="s">
        <v>35</v>
      </c>
      <c r="C10" s="81" t="s">
        <v>132</v>
      </c>
      <c r="D10" s="5" t="s">
        <v>204</v>
      </c>
      <c r="E10" s="5"/>
      <c r="F10" s="78" t="s">
        <v>192</v>
      </c>
      <c r="G10" s="5"/>
      <c r="H10" s="5"/>
      <c r="S10" s="53" t="s">
        <v>51</v>
      </c>
      <c r="T10" s="53" t="s">
        <v>47</v>
      </c>
      <c r="U10" s="54" t="str">
        <f ca="1">_xlfn.IFERROR(INDIRECT("datos!"&amp;HLOOKUP(T10,calculo_imp,2,FALSE)&amp;VLOOKUP(S10,calculo_prob,2,FALSE)),"")</f>
        <v>Bajo</v>
      </c>
      <c r="AB10" s="24" t="s">
        <v>69</v>
      </c>
      <c r="AC10" s="25"/>
      <c r="AD10" s="26" t="s">
        <v>62</v>
      </c>
      <c r="AG10" s="21" t="s">
        <v>78</v>
      </c>
      <c r="AH10" s="21" t="s">
        <v>79</v>
      </c>
      <c r="AI10" s="21" t="s">
        <v>62</v>
      </c>
      <c r="AN10" s="398"/>
      <c r="AO10" s="400" t="s">
        <v>9</v>
      </c>
      <c r="AP10" s="75" t="s">
        <v>87</v>
      </c>
      <c r="AQ10" s="58" t="s">
        <v>112</v>
      </c>
      <c r="AR10" s="60" t="s">
        <v>110</v>
      </c>
    </row>
    <row r="11" spans="1:44" ht="45">
      <c r="A11" s="4"/>
      <c r="B11" s="3" t="s">
        <v>36</v>
      </c>
      <c r="C11" s="81" t="s">
        <v>133</v>
      </c>
      <c r="D11" s="5" t="s">
        <v>205</v>
      </c>
      <c r="E11" s="5"/>
      <c r="F11" s="78" t="s">
        <v>158</v>
      </c>
      <c r="G11" s="5"/>
      <c r="H11" s="5"/>
      <c r="AA11" s="23"/>
      <c r="AB11" s="27" t="s">
        <v>75</v>
      </c>
      <c r="AC11" s="16" t="s">
        <v>47</v>
      </c>
      <c r="AD11" s="36">
        <v>0.2</v>
      </c>
      <c r="AG11" s="51" t="s">
        <v>75</v>
      </c>
      <c r="AH11" s="50" t="str">
        <f>VLOOKUP(AG11,datos!$AB$10:$AD$21,2,0)</f>
        <v>Leve</v>
      </c>
      <c r="AI11" s="39">
        <f>IF(OR(AG11=datos!$AB$10,AG11=datos!$AB$16),"",VLOOKUP(AG11,datos!$AB$10:$AD$21,3,0))</f>
        <v>0.2</v>
      </c>
      <c r="AN11" s="398"/>
      <c r="AO11" s="400"/>
      <c r="AP11" s="75" t="s">
        <v>88</v>
      </c>
      <c r="AQ11" s="58" t="s">
        <v>113</v>
      </c>
      <c r="AR11" s="60" t="s">
        <v>110</v>
      </c>
    </row>
    <row r="12" spans="1:44" ht="60">
      <c r="A12" s="4"/>
      <c r="B12" s="3" t="s">
        <v>37</v>
      </c>
      <c r="C12" s="81" t="s">
        <v>134</v>
      </c>
      <c r="D12" s="5" t="s">
        <v>206</v>
      </c>
      <c r="E12" s="5"/>
      <c r="F12" s="78" t="s">
        <v>193</v>
      </c>
      <c r="G12" s="5"/>
      <c r="H12" s="5"/>
      <c r="AA12" s="23"/>
      <c r="AB12" s="28" t="s">
        <v>76</v>
      </c>
      <c r="AC12" s="17" t="s">
        <v>15</v>
      </c>
      <c r="AD12" s="36">
        <v>0.4</v>
      </c>
      <c r="AH12" s="21" t="s">
        <v>0</v>
      </c>
      <c r="AI12" s="21" t="s">
        <v>120</v>
      </c>
      <c r="AN12" s="398"/>
      <c r="AO12" s="400" t="s">
        <v>10</v>
      </c>
      <c r="AP12" s="75" t="s">
        <v>89</v>
      </c>
      <c r="AQ12" s="58" t="s">
        <v>114</v>
      </c>
      <c r="AR12" s="60" t="s">
        <v>110</v>
      </c>
    </row>
    <row r="13" spans="1:44" ht="45.75" thickBot="1">
      <c r="A13" s="4"/>
      <c r="B13" s="3" t="s">
        <v>38</v>
      </c>
      <c r="C13" s="70" t="s">
        <v>135</v>
      </c>
      <c r="D13" s="4"/>
      <c r="E13" s="5"/>
      <c r="F13" s="78" t="s">
        <v>159</v>
      </c>
      <c r="G13" s="5"/>
      <c r="H13" s="5"/>
      <c r="AA13" s="23"/>
      <c r="AB13" s="28" t="s">
        <v>72</v>
      </c>
      <c r="AC13" s="18" t="s">
        <v>16</v>
      </c>
      <c r="AD13" s="36">
        <v>0.6</v>
      </c>
      <c r="AH13" s="64" t="str">
        <f>+IF(AI13&lt;=datos!$AD$11,datos!$AC$11,IF(AI13&lt;=datos!$AD$12,datos!$AC$12,IF(AI13&lt;=datos!$AD$13,datos!$AC$13,IF(AI13&lt;=datos!$AD$14,datos!$AC$14,IF(AI13&lt;=datos!$AD$15,datos!$AC$15,"")))))</f>
        <v>Catastrófico</v>
      </c>
      <c r="AI13">
        <v>0.81</v>
      </c>
      <c r="AN13" s="401"/>
      <c r="AO13" s="402"/>
      <c r="AP13" s="76" t="s">
        <v>90</v>
      </c>
      <c r="AQ13" s="61" t="s">
        <v>115</v>
      </c>
      <c r="AR13" s="62" t="s">
        <v>110</v>
      </c>
    </row>
    <row r="14" spans="1:44" ht="15.75" customHeight="1">
      <c r="A14" s="4"/>
      <c r="B14" s="3" t="s">
        <v>39</v>
      </c>
      <c r="C14" s="69" t="s">
        <v>136</v>
      </c>
      <c r="D14" s="4"/>
      <c r="E14" s="69"/>
      <c r="F14" s="72"/>
      <c r="G14" s="5"/>
      <c r="Z14" s="23"/>
      <c r="AB14" s="28" t="s">
        <v>73</v>
      </c>
      <c r="AC14" s="19" t="s">
        <v>17</v>
      </c>
      <c r="AD14" s="36">
        <v>0.8</v>
      </c>
      <c r="AN14" s="382" t="s">
        <v>116</v>
      </c>
      <c r="AO14" s="382"/>
      <c r="AP14" s="382"/>
      <c r="AQ14" s="382"/>
      <c r="AR14" s="382"/>
    </row>
    <row r="15" spans="1:30" ht="15.75" customHeight="1">
      <c r="A15" s="4"/>
      <c r="B15" s="3" t="s">
        <v>40</v>
      </c>
      <c r="C15" s="69" t="s">
        <v>137</v>
      </c>
      <c r="D15" s="4"/>
      <c r="E15" s="69"/>
      <c r="F15" s="72"/>
      <c r="G15" s="5"/>
      <c r="Z15" s="23"/>
      <c r="AB15" s="28" t="s">
        <v>74</v>
      </c>
      <c r="AC15" s="20" t="s">
        <v>18</v>
      </c>
      <c r="AD15" s="36">
        <v>1</v>
      </c>
    </row>
    <row r="16" spans="1:30" ht="15">
      <c r="A16" s="4"/>
      <c r="B16" s="3" t="s">
        <v>41</v>
      </c>
      <c r="C16" s="69" t="s">
        <v>138</v>
      </c>
      <c r="D16" s="4"/>
      <c r="E16" s="69"/>
      <c r="F16" s="72"/>
      <c r="G16" s="5"/>
      <c r="AB16" s="24" t="s">
        <v>70</v>
      </c>
      <c r="AC16" s="29"/>
      <c r="AD16" s="37"/>
    </row>
    <row r="17" spans="1:30" ht="30">
      <c r="A17" s="4"/>
      <c r="B17" s="3" t="s">
        <v>42</v>
      </c>
      <c r="C17" s="69" t="s">
        <v>208</v>
      </c>
      <c r="D17" s="4"/>
      <c r="E17" s="69"/>
      <c r="F17" s="72"/>
      <c r="G17" s="5"/>
      <c r="Z17" s="23"/>
      <c r="AB17" s="30" t="s">
        <v>157</v>
      </c>
      <c r="AC17" s="16" t="s">
        <v>47</v>
      </c>
      <c r="AD17" s="36">
        <v>0.2</v>
      </c>
    </row>
    <row r="18" spans="1:30" ht="75">
      <c r="A18" s="4"/>
      <c r="B18" s="3" t="s">
        <v>43</v>
      </c>
      <c r="C18" s="69" t="s">
        <v>139</v>
      </c>
      <c r="D18" s="4"/>
      <c r="E18" s="69"/>
      <c r="F18" s="72"/>
      <c r="G18" s="5"/>
      <c r="Z18" s="23"/>
      <c r="AB18" s="31" t="s">
        <v>192</v>
      </c>
      <c r="AC18" s="17" t="s">
        <v>15</v>
      </c>
      <c r="AD18" s="36">
        <v>0.4</v>
      </c>
    </row>
    <row r="19" spans="1:30" ht="45">
      <c r="A19" s="4"/>
      <c r="B19" s="3" t="s">
        <v>44</v>
      </c>
      <c r="C19" s="69" t="s">
        <v>140</v>
      </c>
      <c r="D19" s="4"/>
      <c r="E19" s="69"/>
      <c r="F19" s="72"/>
      <c r="G19" s="5"/>
      <c r="Z19" s="23"/>
      <c r="AB19" s="31" t="s">
        <v>158</v>
      </c>
      <c r="AC19" s="18" t="s">
        <v>16</v>
      </c>
      <c r="AD19" s="36">
        <v>0.6</v>
      </c>
    </row>
    <row r="20" spans="1:30" ht="60">
      <c r="A20" s="4"/>
      <c r="B20" s="3" t="s">
        <v>45</v>
      </c>
      <c r="C20" s="69" t="s">
        <v>141</v>
      </c>
      <c r="D20" s="4"/>
      <c r="E20" s="69"/>
      <c r="F20" s="72"/>
      <c r="G20" s="5"/>
      <c r="Z20" s="23"/>
      <c r="AB20" s="31" t="s">
        <v>193</v>
      </c>
      <c r="AC20" s="19" t="s">
        <v>17</v>
      </c>
      <c r="AD20" s="36">
        <v>0.8</v>
      </c>
    </row>
    <row r="21" spans="1:30" ht="45.75" thickBot="1">
      <c r="A21" s="4"/>
      <c r="B21" s="3" t="s">
        <v>46</v>
      </c>
      <c r="C21" s="69" t="s">
        <v>142</v>
      </c>
      <c r="D21" s="4"/>
      <c r="E21" s="69"/>
      <c r="F21" s="72"/>
      <c r="G21" s="5"/>
      <c r="Z21" s="23"/>
      <c r="AB21" s="32" t="s">
        <v>159</v>
      </c>
      <c r="AC21" s="33" t="s">
        <v>18</v>
      </c>
      <c r="AD21" s="38">
        <v>1</v>
      </c>
    </row>
    <row r="22" spans="1:7" ht="15">
      <c r="A22" s="4"/>
      <c r="B22" s="4"/>
      <c r="C22" s="4"/>
      <c r="D22" s="4"/>
      <c r="E22" s="4"/>
      <c r="F22" s="4"/>
      <c r="G22" s="4"/>
    </row>
  </sheetData>
  <sheetProtection sheet="1" objects="1" scenarios="1"/>
  <protectedRanges>
    <protectedRange sqref="S10:T10 R27:S29 R14:S16" name="Rango1_2"/>
  </protectedRanges>
  <mergeCells count="14">
    <mergeCell ref="AN14:AR14"/>
    <mergeCell ref="AB1:AE1"/>
    <mergeCell ref="S9:U9"/>
    <mergeCell ref="AB9:AD9"/>
    <mergeCell ref="AG1:AI1"/>
    <mergeCell ref="AN1:AR1"/>
    <mergeCell ref="AN2:AP2"/>
    <mergeCell ref="AN3:AN7"/>
    <mergeCell ref="AO3:AO5"/>
    <mergeCell ref="AO6:AO7"/>
    <mergeCell ref="AN8:AN13"/>
    <mergeCell ref="AO8:AO9"/>
    <mergeCell ref="AO10:AO11"/>
    <mergeCell ref="AO12:AO13"/>
  </mergeCells>
  <conditionalFormatting sqref="S3:W7">
    <cfRule type="cellIs" priority="30" dxfId="1492" operator="equal">
      <formula>$Y$6</formula>
    </cfRule>
    <cfRule type="cellIs" priority="31" dxfId="1493" operator="equal">
      <formula>$Y$5</formula>
    </cfRule>
    <cfRule type="cellIs" priority="32" dxfId="1494" operator="equal">
      <formula>$Y$4</formula>
    </cfRule>
    <cfRule type="cellIs" priority="33" dxfId="1495" operator="equal">
      <formula>$Y$3</formula>
    </cfRule>
  </conditionalFormatting>
  <conditionalFormatting sqref="U10">
    <cfRule type="cellIs" priority="26" dxfId="1492" operator="equal">
      <formula>$Y$6</formula>
    </cfRule>
    <cfRule type="cellIs" priority="27" dxfId="1493" operator="equal">
      <formula>$Y$5</formula>
    </cfRule>
    <cfRule type="cellIs" priority="28" dxfId="1494" operator="equal">
      <formula>$Y$4</formula>
    </cfRule>
    <cfRule type="cellIs" priority="29" dxfId="1495" operator="equal">
      <formula>$Y$3</formula>
    </cfRule>
  </conditionalFormatting>
  <conditionalFormatting sqref="AH3">
    <cfRule type="cellIs" priority="11" dxfId="1495" operator="equal">
      <formula>$AE$7</formula>
    </cfRule>
    <cfRule type="cellIs" priority="12" dxfId="1496" operator="equal">
      <formula>$AE$6</formula>
    </cfRule>
    <cfRule type="cellIs" priority="13" dxfId="1493" operator="equal">
      <formula>$AE$5</formula>
    </cfRule>
    <cfRule type="cellIs" priority="14" dxfId="1497" operator="equal">
      <formula>$AE$4</formula>
    </cfRule>
    <cfRule type="cellIs" priority="15" dxfId="1492" operator="equal">
      <formula>$AE$3</formula>
    </cfRule>
  </conditionalFormatting>
  <conditionalFormatting sqref="AH5">
    <cfRule type="cellIs" priority="6" dxfId="1495" operator="equal">
      <formula>$AE$7</formula>
    </cfRule>
    <cfRule type="cellIs" priority="7" dxfId="1496" operator="equal">
      <formula>$AE$6</formula>
    </cfRule>
    <cfRule type="cellIs" priority="8" dxfId="1493" operator="equal">
      <formula>$AE$5</formula>
    </cfRule>
    <cfRule type="cellIs" priority="9" dxfId="1497" operator="equal">
      <formula>$AE$4</formula>
    </cfRule>
    <cfRule type="cellIs" priority="10" dxfId="1492" operator="equal">
      <formula>$AE$3</formula>
    </cfRule>
  </conditionalFormatting>
  <conditionalFormatting sqref="AH11">
    <cfRule type="cellIs" priority="107" dxfId="1492" operator="equal">
      <formula>$AC$11</formula>
    </cfRule>
    <cfRule type="cellIs" priority="108" dxfId="1497" operator="equal">
      <formula>$AC$12</formula>
    </cfRule>
    <cfRule type="cellIs" priority="109" dxfId="1493" operator="equal">
      <formula>$AC$13</formula>
    </cfRule>
    <cfRule type="cellIs" priority="110" dxfId="1496" operator="equal">
      <formula>$AC$14</formula>
    </cfRule>
    <cfRule type="cellIs" priority="111" dxfId="5" operator="equal">
      <formula>$AC$15</formula>
    </cfRule>
  </conditionalFormatting>
  <conditionalFormatting sqref="AH13">
    <cfRule type="cellIs" priority="112" dxfId="1495" operator="equal">
      <formula>$AC$15</formula>
    </cfRule>
    <cfRule type="cellIs" priority="113" dxfId="1496" operator="equal">
      <formula>$AC$14</formula>
    </cfRule>
    <cfRule type="cellIs" priority="114" dxfId="1493" operator="equal">
      <formula>$AC$13</formula>
    </cfRule>
    <cfRule type="cellIs" priority="115" dxfId="1497" operator="equal">
      <formula>$AC$12</formula>
    </cfRule>
    <cfRule type="cellIs" priority="116" dxfId="1492"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5"/>
    <tablePart r:id="rId2"/>
    <tablePart r:id="rId6"/>
    <tablePart r:id="rId1"/>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Velasquez Lozada, Ilba Jackeline</cp:lastModifiedBy>
  <dcterms:created xsi:type="dcterms:W3CDTF">2021-02-10T16:24:02Z</dcterms:created>
  <dcterms:modified xsi:type="dcterms:W3CDTF">2021-09-03T17:42:14Z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0x01010012B7BB8ACA5CC640BBD448AA8B7898E8</vt:lpwstr>
  </property>
</Properties>
</file>