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Matriz de Riesgos Corrupción" sheetId="1" r:id="rId1"/>
    <sheet name="Impacto Riesgo de Corrupción" sheetId="2" state="hidden" r:id="rId2"/>
    <sheet name="datos" sheetId="3" state="hidden" r:id="rId3"/>
  </sheets>
  <definedNames>
    <definedName name="_xlfn.IFERROR" hidden="1">#NAME?</definedName>
    <definedName name="_xlfn.SINGLE" hidden="1">#NAME?</definedName>
    <definedName name="calculo_imp">'datos'!$S$1:$W$2</definedName>
    <definedName name="calculo_prob">'datos'!$Q$3:$R$7</definedName>
  </definedNames>
  <calcPr fullCalcOnLoad="1"/>
</workbook>
</file>

<file path=xl/comments1.xml><?xml version="1.0" encoding="utf-8"?>
<comments xmlns="http://schemas.openxmlformats.org/spreadsheetml/2006/main">
  <authors>
    <author>Palacios Mu?oz, Lewis Jhossimar</author>
  </authors>
  <commentList>
    <comment ref="Z9" authorId="0">
      <text>
        <r>
          <rPr>
            <sz val="9"/>
            <rFont val="Tahoma"/>
            <family val="2"/>
          </rPr>
          <t>En caso de no poder ejecutar el propósito y/o método del control</t>
        </r>
      </text>
    </comment>
    <comment ref="AB9" authorId="0">
      <text>
        <r>
          <rPr>
            <sz val="9"/>
            <rFont val="Tahoma"/>
            <family val="2"/>
          </rPr>
          <t>Relacionar el nombre de la documentación que soporta la ejecución del control. (procedimiento, manual, documento externo.)</t>
        </r>
      </text>
    </comment>
    <comment ref="N8" authorId="0">
      <text>
        <r>
          <rPr>
            <sz val="9"/>
            <rFont val="Tahoma"/>
            <family val="2"/>
          </rPr>
          <t>Indicar el número de veces de ejecución de la actividad en el año.</t>
        </r>
      </text>
    </comment>
    <comment ref="AN8" authorId="0">
      <text>
        <r>
          <rPr>
            <sz val="9"/>
            <rFont val="Tahoma"/>
            <family val="2"/>
          </rPr>
          <t>Al seleccionar el tratamiento de reducir (mitigar) se debe establecer un plan de acción, Dicha acción corresponde a actividades complementarias para los controles mitigando el riesgo residual.
Adicional, en la descripción del plan de acción se debe indicar el responsable de la acción.</t>
        </r>
      </text>
    </comment>
  </commentList>
</comments>
</file>

<file path=xl/sharedStrings.xml><?xml version="1.0" encoding="utf-8"?>
<sst xmlns="http://schemas.openxmlformats.org/spreadsheetml/2006/main" count="2576" uniqueCount="996">
  <si>
    <t>Impacto</t>
  </si>
  <si>
    <t>Clasificación del Riesgo</t>
  </si>
  <si>
    <t>Afectación</t>
  </si>
  <si>
    <t>Atributos</t>
  </si>
  <si>
    <t>Tratamiento</t>
  </si>
  <si>
    <t>Estado</t>
  </si>
  <si>
    <t>Tipo</t>
  </si>
  <si>
    <t>Implementación</t>
  </si>
  <si>
    <t>Documentación</t>
  </si>
  <si>
    <t>Frecuencia</t>
  </si>
  <si>
    <t>Evidencia</t>
  </si>
  <si>
    <t>objetivos_estrategicos</t>
  </si>
  <si>
    <t>Procesos</t>
  </si>
  <si>
    <t>impacto</t>
  </si>
  <si>
    <t>tratamiento_corrupcion</t>
  </si>
  <si>
    <t>Menor</t>
  </si>
  <si>
    <t>Moderado</t>
  </si>
  <si>
    <t>Mayor</t>
  </si>
  <si>
    <t>Catastrófico</t>
  </si>
  <si>
    <t>Asegurar Salud</t>
  </si>
  <si>
    <t>Reducir</t>
  </si>
  <si>
    <t>Calidad de Servicios de Salud</t>
  </si>
  <si>
    <t>Compartir</t>
  </si>
  <si>
    <t>Alto</t>
  </si>
  <si>
    <t>Extremo</t>
  </si>
  <si>
    <t>Control Disciplinario</t>
  </si>
  <si>
    <t>Evitar</t>
  </si>
  <si>
    <t>Evaluación Seguimiento y Control a la Gestión</t>
  </si>
  <si>
    <t>Aceptar</t>
  </si>
  <si>
    <t>Bajo</t>
  </si>
  <si>
    <t>Gestión Contractual</t>
  </si>
  <si>
    <t>Gestión de Bienes y Servicios</t>
  </si>
  <si>
    <t>Gestión de Comunicaciones</t>
  </si>
  <si>
    <t>Gestión de TIC</t>
  </si>
  <si>
    <t>Ejemplo formula calculo nivel riesgo</t>
  </si>
  <si>
    <t>Gestión de Urgencias Emergencias y Desastres</t>
  </si>
  <si>
    <t>Gestión del conocimiento e Innovación</t>
  </si>
  <si>
    <t>Gestión del Talento Humano</t>
  </si>
  <si>
    <t>Gestión en Salud Publica</t>
  </si>
  <si>
    <t>Gestión Financiera</t>
  </si>
  <si>
    <t>Gestión Jurídica</t>
  </si>
  <si>
    <t>Gestión Social en Salud</t>
  </si>
  <si>
    <t>Inspección Vigilancia y Control</t>
  </si>
  <si>
    <t>Planeación Institucional y Calidad</t>
  </si>
  <si>
    <t>Planeación y Gestión Sectorial</t>
  </si>
  <si>
    <t>Política y Gerencia Estratégica</t>
  </si>
  <si>
    <t>Provisión de Servicios de Salud</t>
  </si>
  <si>
    <t>Leve</t>
  </si>
  <si>
    <t>Muy Alta</t>
  </si>
  <si>
    <t>Alta</t>
  </si>
  <si>
    <t>Baja</t>
  </si>
  <si>
    <t>Muy Baja</t>
  </si>
  <si>
    <t>Media</t>
  </si>
  <si>
    <t>Económico</t>
  </si>
  <si>
    <t>Reputacional</t>
  </si>
  <si>
    <t>Económico y Reputacional</t>
  </si>
  <si>
    <t>Fraude Externo</t>
  </si>
  <si>
    <t>Fraude Interno</t>
  </si>
  <si>
    <t>Relaciones Laborales</t>
  </si>
  <si>
    <t>Usuarios, productos y practicas , organizacionales</t>
  </si>
  <si>
    <t>Tabla Criterios para definir el nivel de probabilidad</t>
  </si>
  <si>
    <t>Frecuencia de la Actividad</t>
  </si>
  <si>
    <t>Probabilidad</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</si>
  <si>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</si>
  <si>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</si>
  <si>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</si>
  <si>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</si>
  <si>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</si>
  <si>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Tabla Criterios para definir el nivel de impacto</t>
  </si>
  <si>
    <t>Afectación Económica (o presupuestal)</t>
  </si>
  <si>
    <t>Pérdida Reputacional</t>
  </si>
  <si>
    <t>Formula Probabilidad</t>
  </si>
  <si>
    <t xml:space="preserve">    Entre 50 y 100 SMLMV</t>
  </si>
  <si>
    <t xml:space="preserve">    Entre 100 y 500 SMLMV</t>
  </si>
  <si>
    <t xml:space="preserve">    Mayor a 500 SMLMV</t>
  </si>
  <si>
    <t xml:space="preserve">    Afectación menor a 10 SMLMV</t>
  </si>
  <si>
    <t xml:space="preserve">    Entre 10 y 50 SMLMV</t>
  </si>
  <si>
    <t>Frecuencia registrada</t>
  </si>
  <si>
    <t>Afectación registrada</t>
  </si>
  <si>
    <t>Formula impacto</t>
  </si>
  <si>
    <t>Preventivo</t>
  </si>
  <si>
    <t>Detectivo</t>
  </si>
  <si>
    <t>Correctivo</t>
  </si>
  <si>
    <t>Automático</t>
  </si>
  <si>
    <t>Manual</t>
  </si>
  <si>
    <t>Documentado</t>
  </si>
  <si>
    <t>Sin Documentar</t>
  </si>
  <si>
    <t>Continua</t>
  </si>
  <si>
    <t>Aleatoria</t>
  </si>
  <si>
    <t>Con Registro</t>
  </si>
  <si>
    <t>Sin Registro</t>
  </si>
  <si>
    <t>Reducir (compartir)</t>
  </si>
  <si>
    <t>Reducir (mitigar)</t>
  </si>
  <si>
    <t>Finalizado</t>
  </si>
  <si>
    <t>En Curso</t>
  </si>
  <si>
    <t>Criterios de Impacto</t>
  </si>
  <si>
    <t>Probabilidad Valor</t>
  </si>
  <si>
    <t>Probalidad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</si>
  <si>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</si>
  <si>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</si>
  <si>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</si>
  <si>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</si>
  <si>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</si>
  <si>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</si>
  <si>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</si>
  <si>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</si>
  <si>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</si>
  <si>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</si>
  <si>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indexed="57"/>
        <rFont val="Arial Narrow"/>
        <family val="2"/>
      </rPr>
      <t>*</t>
    </r>
    <r>
      <rPr>
        <b/>
        <sz val="12"/>
        <rFont val="Arial Narrow"/>
        <family val="2"/>
      </rPr>
      <t>Atributos de</t>
    </r>
    <r>
      <rPr>
        <b/>
        <sz val="12"/>
        <color indexed="57"/>
        <rFont val="Arial Narrow"/>
        <family val="2"/>
      </rPr>
      <t xml:space="preserve"> </t>
    </r>
    <r>
      <rPr>
        <b/>
        <sz val="12"/>
        <color indexed="8"/>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</si>
  <si>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</si>
  <si>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</si>
  <si>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</si>
  <si>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</si>
  <si>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</si>
  <si>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</si>
  <si>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</si>
  <si>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indexed="57"/>
        <rFont val="Arial Narrow"/>
        <family val="2"/>
      </rPr>
      <t>*Nota 1:</t>
    </r>
    <r>
      <rPr>
        <sz val="12"/>
        <color indexed="8"/>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</si>
  <si>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VALORACIÓN</t>
  </si>
  <si>
    <t>TIPO</t>
  </si>
  <si>
    <t>IMPEMENTACIÓN</t>
  </si>
  <si>
    <t>Formula probabilidad residual</t>
  </si>
  <si>
    <t>Formula de probabilidad de acuerdo a frecuencia</t>
  </si>
  <si>
    <t xml:space="preserve"> probabilidad </t>
  </si>
  <si>
    <t>Objetivo Procesos</t>
  </si>
  <si>
    <t>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t>
  </si>
  <si>
    <t>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t>
  </si>
  <si>
    <t>Establecer los lineamientos para el desarrollo de la ciencia y de la tecnología e innovación como insumo en el fortalecimiento del que quehacer de la Entidad.</t>
  </si>
  <si>
    <t>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t>
  </si>
  <si>
    <t>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t>
  </si>
  <si>
    <t>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t>
  </si>
  <si>
    <t>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t>
  </si>
  <si>
    <t>A. Referencia</t>
  </si>
  <si>
    <t>D. Objetivo Proceso</t>
  </si>
  <si>
    <t>F. Causa Inmediata</t>
  </si>
  <si>
    <t>G. Causa Raíz</t>
  </si>
  <si>
    <t>A. No. Control</t>
  </si>
  <si>
    <t>A. Probabilidad Residual Final</t>
  </si>
  <si>
    <t>B. Valor Probabilidad Residual Final</t>
  </si>
  <si>
    <t>C. Impacto Residual Final</t>
  </si>
  <si>
    <t>E. Zona de Riesgo Final</t>
  </si>
  <si>
    <t>A. Plan de Acción</t>
  </si>
  <si>
    <t>A. Frecuencia con la cual se realiza la actividad</t>
  </si>
  <si>
    <t>B. Probabilidad Inherente</t>
  </si>
  <si>
    <t>C. Valor Probabilidad Inherente</t>
  </si>
  <si>
    <t xml:space="preserve">    Afecta la imagen de alguna área de la organización</t>
  </si>
  <si>
    <t xml:space="preserve">    Afecta la imagen de la entidad con algunos usuarios de relevancia frente al logro de los objetivos</t>
  </si>
  <si>
    <t xml:space="preserve">    Afecta la imagen de la entidad a nivel nacional, con efecto publicitarios sostenible a nivel país</t>
  </si>
  <si>
    <t>No.</t>
  </si>
  <si>
    <t>PREGUNTA:</t>
  </si>
  <si>
    <t>Respuesta</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</si>
  <si>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</si>
  <si>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</si>
  <si>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</si>
  <si>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</si>
  <si>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</si>
  <si>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</si>
  <si>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</si>
  <si>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</si>
  <si>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</si>
  <si>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</si>
  <si>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</si>
  <si>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</si>
  <si>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</si>
  <si>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</si>
  <si>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</si>
  <si>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</si>
  <si>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</si>
  <si>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</si>
  <si>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</si>
  <si>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Total Preguntas Afirmativas</t>
  </si>
  <si>
    <t>Total Preguntas Negativas</t>
  </si>
  <si>
    <r>
      <t xml:space="preserve">Responder afirmativamente de UNA a CINCO pregunta(s) genera un </t>
    </r>
    <r>
      <rPr>
        <b/>
        <sz val="10"/>
        <rFont val="Arial"/>
        <family val="2"/>
      </rPr>
      <t>impacto moderado.</t>
    </r>
    <r>
      <rPr>
        <sz val="10"/>
        <rFont val="Arial"/>
        <family val="2"/>
      </rPr>
      <t xml:space="preserve">
Responder afirmativamente de SEIS a ONCE preguntas genera un</t>
    </r>
    <r>
      <rPr>
        <b/>
        <sz val="10"/>
        <rFont val="Arial"/>
        <family val="2"/>
      </rPr>
      <t xml:space="preserve"> impacto mayor.</t>
    </r>
    <r>
      <rPr>
        <sz val="10"/>
        <rFont val="Arial"/>
        <family val="2"/>
      </rPr>
      <t xml:space="preserve">
Responder afirmativamente de DOCE a DIECINUEVE preguntas genera un</t>
    </r>
    <r>
      <rPr>
        <b/>
        <sz val="10"/>
        <rFont val="Arial"/>
        <family val="2"/>
      </rPr>
      <t xml:space="preserve"> impacto catastrófico.
IMPORTANTE: </t>
    </r>
    <r>
      <rPr>
        <sz val="10"/>
        <rFont val="Arial"/>
        <family val="2"/>
      </rPr>
      <t xml:space="preserve">Si la respuesta a la pregunta 16 es afirmativa, el riesgo se considera catastrófico. Por cada riesgo de corrupción identificado, se debe diligenciar una tabla de estas. </t>
    </r>
  </si>
  <si>
    <t>MODERADO</t>
  </si>
  <si>
    <t>Genera medianas consecuencias sobre la entidad</t>
  </si>
  <si>
    <t>MAYOR</t>
  </si>
  <si>
    <t>Genera altas consecuencias sobre la entidad.</t>
  </si>
  <si>
    <t>CATASTROFICO</t>
  </si>
  <si>
    <t>Genera consecuencias desastrosas para la entidad</t>
  </si>
  <si>
    <t>IMPACTO DEL RIESGO DE CORRUPCIÓN</t>
  </si>
  <si>
    <t xml:space="preserve">    Afecta la imagen de la entidad internamente, de conocimiento general, nivel interno, de junta directiva y accionistas y/o de proveedores</t>
  </si>
  <si>
    <t xml:space="preserve">    Afecta la imagen de la entidad con efecto publicitario sostenido a nivel de sector administrativo, nivel departamental o municipal</t>
  </si>
  <si>
    <t>Descripción del Control</t>
  </si>
  <si>
    <t>Tipo de Riesgo</t>
  </si>
  <si>
    <t>Riesgo ambiental</t>
  </si>
  <si>
    <t>Riesgo de corrupción</t>
  </si>
  <si>
    <t>Riesgo de cumplimiento</t>
  </si>
  <si>
    <t>Riesgo de imagen o reputacional</t>
  </si>
  <si>
    <t>Riesgo de seguridad digital</t>
  </si>
  <si>
    <t>Riesgo de Seguridad y Salud en el Trabajo</t>
  </si>
  <si>
    <t>Riesgo estratégico</t>
  </si>
  <si>
    <t>Riesgo financiero</t>
  </si>
  <si>
    <t>Riesgo gerencial</t>
  </si>
  <si>
    <t>Riesgo operativo</t>
  </si>
  <si>
    <t>Riesgo tecnológico</t>
  </si>
  <si>
    <t>F. Zona de Riesgo Inherente</t>
  </si>
  <si>
    <t>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t>
  </si>
  <si>
    <t>Daños Activos Físicos</t>
  </si>
  <si>
    <t>Ejecución y Administración de procesos</t>
  </si>
  <si>
    <t>Fallas Tecnológicas</t>
  </si>
  <si>
    <t>B. Fecha Implementación</t>
  </si>
  <si>
    <t>D. Periodicidad
¿Cada cuanto?</t>
  </si>
  <si>
    <t>H. Evidencia</t>
  </si>
  <si>
    <t>I. Documentación</t>
  </si>
  <si>
    <t>F. Método
¿Cómo?</t>
  </si>
  <si>
    <t>G. Reacción
¿Qué hacer en caso de?</t>
  </si>
  <si>
    <t>E. Propósito
¿Qué?</t>
  </si>
  <si>
    <t>C. Responsable
¿Quién?</t>
  </si>
  <si>
    <t>D. Impacto 
Inherente
(Hoja Impacto R. Corrupción)</t>
  </si>
  <si>
    <t>B. Nombre del Control</t>
  </si>
  <si>
    <t>E. Valor impacto Inherente</t>
  </si>
  <si>
    <t>1. IDENTIFICACIÓN DEL RIESGO</t>
  </si>
  <si>
    <t>2. ANÁLISIS DEL RIESGO INHERENTE</t>
  </si>
  <si>
    <t>5. PLAN DE ACCIÓN</t>
  </si>
  <si>
    <t>Elaboró</t>
  </si>
  <si>
    <t>Revisó:</t>
  </si>
  <si>
    <t>Aprobó:</t>
  </si>
  <si>
    <t>Versión</t>
  </si>
  <si>
    <t>Fecha</t>
  </si>
  <si>
    <t xml:space="preserve">Descripción </t>
  </si>
  <si>
    <t xml:space="preserve">Nombre: </t>
  </si>
  <si>
    <t xml:space="preserve">Cargo: </t>
  </si>
  <si>
    <t>Cargo:</t>
  </si>
  <si>
    <t xml:space="preserve">Firma: </t>
  </si>
  <si>
    <t>Control de Cambios</t>
  </si>
  <si>
    <t>3. EVALUACIÓN DEL RIESGO - VALORACIÓN DE LOS CONTROLES</t>
  </si>
  <si>
    <t>4. EVALUACIÓN DEL RIESGO - NIVEL DEL RIESGO DEL RESIDUAL</t>
  </si>
  <si>
    <t>F. Tratamiento
(Seleccionar)</t>
  </si>
  <si>
    <r>
      <t xml:space="preserve">B. Proceso
</t>
    </r>
    <r>
      <rPr>
        <sz val="9"/>
        <color indexed="8"/>
        <rFont val="Arial"/>
        <family val="2"/>
      </rPr>
      <t>(Seleccionar)</t>
    </r>
  </si>
  <si>
    <r>
      <t xml:space="preserve">C. Objetivo Estratégico
</t>
    </r>
    <r>
      <rPr>
        <sz val="9"/>
        <color indexed="8"/>
        <rFont val="Arial"/>
        <family val="2"/>
      </rPr>
      <t>(Seleccionar)</t>
    </r>
  </si>
  <si>
    <r>
      <t xml:space="preserve">E. Impacto
</t>
    </r>
    <r>
      <rPr>
        <sz val="9"/>
        <color indexed="8"/>
        <rFont val="Arial"/>
        <family val="2"/>
      </rPr>
      <t>(Seleccionar)</t>
    </r>
  </si>
  <si>
    <t>No. de Referencia del Riesgo de Corrupción</t>
  </si>
  <si>
    <t>RESPUESTAS IMPACTO CORRUPCIÓN</t>
  </si>
  <si>
    <t>SI</t>
  </si>
  <si>
    <t>NO</t>
  </si>
  <si>
    <t xml:space="preserve">A continuación marque con una X todas las preguntas según correspondan a Si o No.
Si el riesgo de corrupción se materializa podría... </t>
  </si>
  <si>
    <t>IMPACTO RIESGO DE CORRUPCIÓN</t>
  </si>
  <si>
    <t>J. Recursos (humanos, tecnológicos, etc.)</t>
  </si>
  <si>
    <t>K. Afectación</t>
  </si>
  <si>
    <t>L. Tipo
(Seleccionar)</t>
  </si>
  <si>
    <t>M. Implementación
(Seleccionar)</t>
  </si>
  <si>
    <t>N. Calificación</t>
  </si>
  <si>
    <t>Procesos relacionados</t>
  </si>
  <si>
    <r>
      <t xml:space="preserve">¿Es causa transversal?
</t>
    </r>
    <r>
      <rPr>
        <sz val="9"/>
        <color indexed="8"/>
        <rFont val="Arial"/>
        <family val="2"/>
      </rPr>
      <t>(Seleccionar)</t>
    </r>
  </si>
  <si>
    <t>H. Causa Transversal</t>
  </si>
  <si>
    <t>I. Descripción del Riesgo</t>
  </si>
  <si>
    <r>
      <t xml:space="preserve">J. Tipo de Riesgo
</t>
    </r>
    <r>
      <rPr>
        <sz val="9"/>
        <color indexed="8"/>
        <rFont val="Arial"/>
        <family val="2"/>
      </rPr>
      <t>(Seleccionar)</t>
    </r>
  </si>
  <si>
    <r>
      <t xml:space="preserve">K. Clasificación del Riesgo
</t>
    </r>
    <r>
      <rPr>
        <sz val="9"/>
        <color indexed="8"/>
        <rFont val="Arial"/>
        <family val="2"/>
      </rPr>
      <t>(Seleccionar)</t>
    </r>
  </si>
  <si>
    <t>1. Fortalecer la atención integral en salud fundamentado en la Atención Primaria en Salud (APS) y en el enfoque de determinantes sociales y ambientales, con perspectiva poblacional diferencial, de cultura ciudadana, de género, participativo, territorial y resolutivo, que impacten positivamente el estado de salud de la población.</t>
  </si>
  <si>
    <t>2. Mejorar las capacidades institucionales a través de la actualización y modernización de la infraestructura física, la transformación digital, la arquitectura empresarial y el fortalecimiento de las competencias del talento humano.</t>
  </si>
  <si>
    <t>3. Mejorar la calidad, eficiencia y acceso en la prestación de los servicios de salud a través del cumplimiento de la función de inspección, vigilancia y control.</t>
  </si>
  <si>
    <t>4. Fortalecer la gestión y la transparencia Institucional.</t>
  </si>
  <si>
    <t>Elaboró: Lewis Jhossimar Palacios Muñoz / Revisó: Alvaro Augusto Amado Camacho / Aprobó: Juan Carlos Jaramillo Correa</t>
  </si>
  <si>
    <t>PLANEACIÓN INSTITUCIONAL Y CALIDAD
DIRECCIÓN DE PLANEACIÓN INSTITUCIONAL Y CALIDAD
SISTEMA DE GESTIÓN
CONTROL DOCUMENTAL</t>
  </si>
  <si>
    <t>MAPA DE RIESGOS SDS</t>
  </si>
  <si>
    <t>SDS-PYC-FT-029</t>
  </si>
  <si>
    <t>Versión:</t>
  </si>
  <si>
    <t>Código:</t>
  </si>
  <si>
    <t>Codigo:</t>
  </si>
  <si>
    <t>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t>
  </si>
  <si>
    <t>Ejercer la función disciplinaria en primera instancia en la SDS, mediante el seguimiento y gestión eficiente de los procesos disciplinarios hacia los servidores públicos de acuerdo a los principios rectores de la ley disciplinaria.</t>
  </si>
  <si>
    <t>Evaluar en la Secretaria Distrital de Salud, los sistemas de gestión y control, mediante metodologías de auditoría y de seguimiento, promoviendo la cultura del autocontrol, mejoramiento continuo y acciones eficaces en las líneas de defensa.</t>
  </si>
  <si>
    <t>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t>
  </si>
  <si>
    <t>Administrar los bienes de propiedad, planta y equipo de la entidad y la prestación de los servicios administrativos en todos los procesos y sedes en custodia, con el fin de satisfacer las necesidades para el funcionamiento de la entidad durante la vigencia.</t>
  </si>
  <si>
    <t>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t>
  </si>
  <si>
    <t>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t>
  </si>
  <si>
    <t>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t>
  </si>
  <si>
    <t>Dirigir y coordinar el desarrollo administrativo y la gestión institucional, de conformidad con las directrices establecidas del Sistema de Gestión en el marco del Modelo Integrado de Planeación y gestión MIPG para el fortalecimiento de los procesos de la Secretaria Distrital de Salud.</t>
  </si>
  <si>
    <t>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t>
  </si>
  <si>
    <t>D. Valor Impacto Residual Final</t>
  </si>
  <si>
    <t>Adelantar actividades y programas de asistencia técnica, a los usuarios y/o prestadores de servicios de salud en el Distrito Capital, por medio de asistencias técnicas grupales e individuales, para cumplir con los temas relacionados con el Sistema Obligatorio de Garantía de la Calidad de la Atención de Salud y Seguridad del Paciente y normas relacionadas, durante la vigencia.</t>
  </si>
  <si>
    <t>Factores de riesgo</t>
  </si>
  <si>
    <t>Tecnología</t>
  </si>
  <si>
    <t>Infraestructura</t>
  </si>
  <si>
    <t>Evento externo</t>
  </si>
  <si>
    <t>Talento humano</t>
  </si>
  <si>
    <t>C. Acción de Contingencia ante Posible Materialización del Riesgo</t>
  </si>
  <si>
    <r>
      <t xml:space="preserve">L. Factor de Riesgo
</t>
    </r>
    <r>
      <rPr>
        <sz val="9"/>
        <color indexed="8"/>
        <rFont val="Arial"/>
        <family val="2"/>
      </rPr>
      <t>(Seleccionar)</t>
    </r>
  </si>
  <si>
    <t>Permisos de acceso a los aplicativos y  Bases de Datos de aseguramiento  por parte de funcionarios o contratistas que ya no se encuentren vinculados a la Dirección de Aseguramiento y Garantía del Derecho a la Salud o ya no tengan responsabilidad sobre las bases de datos.</t>
  </si>
  <si>
    <t>TIC</t>
  </si>
  <si>
    <t>Posibilidad de afectación reputacional por el manejo indebido de la información almacenada en  las bases de datos de usuarios afiliados al SGSSS  en Bogotá, por el  talento  humano con permisos de acceso a las bases de datos de aseguramiento  para favorecimiento propio y/o de un tercero.</t>
  </si>
  <si>
    <t xml:space="preserve">No prestación del servicio de salud facturado o prestación de servicios incompletos o no autorizados
Falta de conocimiento de lineamientos  normativos para auditoria de cuentas médicas. 
Las IPS  realicen doble presentación de facturas  e información falsa de prestación de servicios de salud de la población a cargo del FFDS. 
</t>
  </si>
  <si>
    <t xml:space="preserve">Falta de segumiento a los controles </t>
  </si>
  <si>
    <t>Dirección Financiera</t>
  </si>
  <si>
    <t xml:space="preserve">Posible afectación reputacional por el reconocimiento   y/o autorizarización   de pagos indebidos </t>
  </si>
  <si>
    <t xml:space="preserve">Omitir las evidencias de incumplimientos durante el proceso de auditoría para el beneficio de la entidad sujeta al proceso de IVS
No realizar las actividades de IVS en todas las EPS para el beneficio de alguna de estas.  </t>
  </si>
  <si>
    <t xml:space="preserve">Omitir las evidencias de incumplimientos durante el proceso de auditoría para el beneficio de la entidad sujeta al proceso de IVS por parte del Ente Territorial
</t>
  </si>
  <si>
    <t>N/A</t>
  </si>
  <si>
    <t>Posibilidad de afectación reputacional por el no reporte  a la Super Intendencia Nacional de Salud sin el  total de  incumplimientos de las EPS  evidenciados en las visitas de IVS por parte de la Dirección de Aseguramiento y Garantía del Derecho a la Salud.</t>
  </si>
  <si>
    <t>Bloqueo Usuario</t>
  </si>
  <si>
    <t>El Supervisor del Contrato y/o el Subdirector(a) de Administración del Aseguramiento</t>
  </si>
  <si>
    <t>Semestral</t>
  </si>
  <si>
    <t>Al retiro del funcionario o finalización del contrato, notificará  a la Dirección TIC o quien haga sus veces, el retiro del acceso a la red de la SDS y especificamente a la información de Bases de datos</t>
  </si>
  <si>
    <t>Correo</t>
  </si>
  <si>
    <t xml:space="preserve">Verificación del informe final o certificación de entrega del cargo </t>
  </si>
  <si>
    <t xml:space="preserve">"Correo de solicitud de  novedad (activación de la cuenta o modificación para los usuarios de planta), teniendo en cuenta que la Dirección TIC cancela automáticamente las cuentas de red al cumplirse la fecha de terminación del contrato" </t>
  </si>
  <si>
    <t>Humano
Tecnológico
Financiero</t>
  </si>
  <si>
    <t xml:space="preserve">Cruce y Validación de facturas </t>
  </si>
  <si>
    <t xml:space="preserve">El Profesional (Ing.) </t>
  </si>
  <si>
    <t>Mensual</t>
  </si>
  <si>
    <t xml:space="preserve">A la recepción y radicación de cuentas medicas, verifica y realiza  cruce con los sistemas de información disponibles en la Subdirección de Garantía del Aseguramiento, para evitar un posible doble cobro de las facturas presentadas por la IPS y
Genera certificación mensual
</t>
  </si>
  <si>
    <t xml:space="preserve">Mediante el cruce con las bases de datos  disponibles en la Subdirección de Garantía del Aseguramiento, con el historico de radicación para evitar un posible doble cobro de las facturas presentadas por la IPS </t>
  </si>
  <si>
    <t>Si se evidencia una doble facturación se verifica con los analistas de cuentas, si se radico se realiza oficio y devolución a la IPS</t>
  </si>
  <si>
    <t>Certificación mensual de lo evidenciado en el periodo.</t>
  </si>
  <si>
    <t>Procedimiento</t>
  </si>
  <si>
    <t>Verificación de la prestación del servicio</t>
  </si>
  <si>
    <t xml:space="preserve">Los Analistas </t>
  </si>
  <si>
    <t>Verifican aleatoriamente si los servicios facturados en la cuenta médica fueron prestados efectivamente</t>
  </si>
  <si>
    <t>Validación de la información:  lugar de residencia habitual del paciente a través de llamadas a los usuarios,  se registra cada caso en el formato de seguimiento llamadas telefónica</t>
  </si>
  <si>
    <t>El control aplica para los procesos de auditoria desarrollada  por un equipo interno de la SDS</t>
  </si>
  <si>
    <t xml:space="preserve">Formato de seguimiento llamadas telefonicas - casos especiales </t>
  </si>
  <si>
    <t xml:space="preserve">Cambio normativo </t>
  </si>
  <si>
    <t>El profesional Líder del Grupo de Cuentas Médicas</t>
  </si>
  <si>
    <t xml:space="preserve">Al ingreso de personal nuevo y/o periódicamente al cambio de normatividad o directrices internas,  socializa al grupo auditor para que realice los ajustes.
</t>
  </si>
  <si>
    <t>Mediante Correo electrónico se informa</t>
  </si>
  <si>
    <t>Reunión con equipo de trabajo para los nuevos cambios</t>
  </si>
  <si>
    <t xml:space="preserve">Correo
Actas
</t>
  </si>
  <si>
    <t>Actas
Correo</t>
  </si>
  <si>
    <t xml:space="preserve">Revisión del marco normativo </t>
  </si>
  <si>
    <t>El Subdirector de Garantía del Aseguramiento - Líder del grupo de IVS -  Grupo auditor</t>
  </si>
  <si>
    <t>Anualmente</t>
  </si>
  <si>
    <t>Realiza actualización del programa de IVS o en el momento en que cambia la norma</t>
  </si>
  <si>
    <t xml:space="preserve">Verificación cambios en las documentación utilizada en los procesos de auditoria frente a a cambios normativitivos, mediante mesas de trabajo con el grupo auditor. </t>
  </si>
  <si>
    <t>Según el caso, se realizará ajuste al plan al encontrar diferencias frente a la normatividad vigente.</t>
  </si>
  <si>
    <t>Programa de IVS</t>
  </si>
  <si>
    <t>Programa de auditorías</t>
  </si>
  <si>
    <t xml:space="preserve">Revisón cumplimiento del plan </t>
  </si>
  <si>
    <t>El Subdirector de Garantía del Aseguramiento - Líder del grupo de IVS-  Grupo auditor</t>
  </si>
  <si>
    <t xml:space="preserve">De acuerdo al cronograma de visitas  establecido para la vigencia ,  realizará inspección y vigilancia a  todos los componentes  de auditoría establecidos en el programa  de  IVS, </t>
  </si>
  <si>
    <t>Mediante la aplicación de los instrumentos de IVS y el cumplimiento del programa</t>
  </si>
  <si>
    <t>En caso de presentarse cambios normativos, se realizará ajuste al Cronograma  y a los instrumentos.</t>
  </si>
  <si>
    <t>Cronograma  de IVS
Actas</t>
  </si>
  <si>
    <t>Bloqueo de usuarios</t>
  </si>
  <si>
    <t>Cuando se generen cambios</t>
  </si>
  <si>
    <t>Actualización de la norma</t>
  </si>
  <si>
    <t>No revisar los documentos necesarios para el ingreso y egresode bienes</t>
  </si>
  <si>
    <t xml:space="preserve">Realizar el ingreso de bienes inadecuadamente </t>
  </si>
  <si>
    <t>NA</t>
  </si>
  <si>
    <t xml:space="preserve">Posibilidad de afectación economica y reputacional por investigaciones disciplinarias y fiscales debido al ingreso de bienes inadeacuado con el fin de favorecer a terceros  </t>
  </si>
  <si>
    <t>Verificación ingreso de bienes</t>
  </si>
  <si>
    <t>Profesional Especializado</t>
  </si>
  <si>
    <t>Verificar que los datos registrados en  los documentos soporte (factura, contrato, convenio, comodato o donación) de la entrega correspondan con las cantidades y caracterisiticas fisicas y técnicas de los bienes recibidos.</t>
  </si>
  <si>
    <t>Comparar documentos ingreso contra comprobante de ingreso</t>
  </si>
  <si>
    <t>Solicitar al profesional realizar los ajustes e informar al Sub Director las novedades</t>
  </si>
  <si>
    <t>Correo Electronico</t>
  </si>
  <si>
    <t>Actas</t>
  </si>
  <si>
    <t>Humanos y Tecnológicos</t>
  </si>
  <si>
    <t xml:space="preserve">Realizar revisiones fisicas y documentales aleatorias a los bienes almacenados para verificar que estos cumplan con las especificaciones técnicas con las cuales fueron adquiridos y recibidos.   </t>
  </si>
  <si>
    <t>Realizar las investigaciones pertinentes
Gestionar los trámites de devolución o cambio de los elementos recibidos</t>
  </si>
  <si>
    <t xml:space="preserve">Trámite inadecuado de las indagaciones e investigaciones disciplinarias en beneficio propio o de un tercero.
</t>
  </si>
  <si>
    <t>No efectuar el trámite de impulso procesal señalado en el Código General Disciplinario.</t>
  </si>
  <si>
    <t>Posibilidad de afectación reputacional por trámite inadecuado de las indagaciones e investigaciones disciplinarias en beneficio propio o de un tercero debido a  no efectuar el trámite de impulso procesal señalado en el Código General Disciplinario.</t>
  </si>
  <si>
    <t xml:space="preserve">Extravió o pérdida parcial o total intencional de expedientes disciplinarios y/o demás información en beneficio propio o de un tercero. </t>
  </si>
  <si>
    <t>Fallas en el  control del manejo de expedientes de procesos disciplinarios.</t>
  </si>
  <si>
    <t>Posibilidad de afectación reputacional por extravió o pérdida parcial o total intencional de expedientes disciplinarios y/o demás información en beneficio propio o de un tercero debido a  fallas en el  control del manejo de expedientes de procesos disciplinarios.</t>
  </si>
  <si>
    <t>Desarrollo y revisión de actuaciones procesales.</t>
  </si>
  <si>
    <t>El Jefe de la Oficina de Control Disciplinario Interno y  abogados sustanciadores</t>
  </si>
  <si>
    <t>Siempre  que los profesionales de esta dependencia elaboren los proyectos conforme a la Ley deberàn remitirlos dentro de los tèrminos de ley  para la aprobación de las mismas providencias por parte del Jefe .</t>
  </si>
  <si>
    <t>Revisar con el abogado sustanciador y validar que dichos proyectos estén conforme a la ley disciplinaria.</t>
  </si>
  <si>
    <t>Aprobando el respectivo documento mediante su firma.</t>
  </si>
  <si>
    <t>En caso de tener correcciones de fondo le será devuelto al profesional correspondiente.</t>
  </si>
  <si>
    <t>R:\OCDI 2024\EVIDENCIAS_MAPA_RIESGOS_ 2024_ OCDI_ CONTROL INTERNO</t>
  </si>
  <si>
    <t>Firma del documento por quien lo elaboró  y aprobación del Jefe en cada expediente.</t>
  </si>
  <si>
    <t>El Jefe de Oficina y abogados sustanciadores (recurso humano,  y expediente físico. (recurso físicos)</t>
  </si>
  <si>
    <t xml:space="preserve">Préstamo de expedientes. </t>
  </si>
  <si>
    <t>Secretaria, técnico  y/o tecnólogo de la Oficina de Control Disciplinario Interno.</t>
  </si>
  <si>
    <t>Siempre que los profesionales sustanciadores o los sujetos procesales solicitan un expediente.</t>
  </si>
  <si>
    <t>Controlará la entrada y salida de los expedientes.</t>
  </si>
  <si>
    <t>Mediante un registro de estos movimientos en un libro de préstamo de expedientes.</t>
  </si>
  <si>
    <t>En caso de pérdida o extravio de algún expediente se debe  presentar por el abogado sustanciador denuncia por pérdida ante la Fiscalía  General de la Nación y dictar por la oficina auto por medio del cual se ordene la reconstrucción del expediente perdido o extraviado dando aplicación a la ley disciplinaria.</t>
  </si>
  <si>
    <t>Se lleva el registro en un libro de los expedientes prestados.</t>
  </si>
  <si>
    <t>Secretaria Técnica, técnico y/o tecnólogo, abogados sustanciadores (recurso humano),  libro préstamo expedientes. (recurso físico)</t>
  </si>
  <si>
    <t>Inventario de expedientes mensual</t>
  </si>
  <si>
    <t>Mensualmente, realizará control de arqueo de expedientes.</t>
  </si>
  <si>
    <t xml:space="preserve">Realizará control de arqueo de expedientes, para evitar la pérdida. </t>
  </si>
  <si>
    <t>Comparando los archivos en físico con la hoja de trabajo en Excel, tomando como referencia el mes inmediatamente  anterior.</t>
  </si>
  <si>
    <t>Se llevará una hoja de trabajo en Excel denominada  (Registro Mensual Control Expedientes OCDI).</t>
  </si>
  <si>
    <t>Secretaria Técnica, técnico  y/o tecnólogo, abogados sustanciadores (recurso humano),   Hoja Excel Registro mensual control expedientes.                 (recurso tecnològico)</t>
  </si>
  <si>
    <t>Archivo digital de expedientes Disciplinarios,</t>
  </si>
  <si>
    <t>Siempre   que se aperture un expediente.</t>
  </si>
  <si>
    <t>Realizará una copia de seguridad.</t>
  </si>
  <si>
    <t>Mediante la digitalización en formato PDF del contenido del expediente.</t>
  </si>
  <si>
    <t xml:space="preserve">Carpeta digital denominada               ( EXPEDIENTES 2024).La cual se encuentra ubicada  en el equipo de la Secretaria Técnica de la OCDI, en la siguiente ruta :  Bodega (D);EXPEDIENTES 2024. </t>
  </si>
  <si>
    <t xml:space="preserve">Secretaria Técnica, técnico  y/o tecnólogo, abogados sustanciadores (recurso humano), y Carpeta Digital. (recursos tecnológicos)    </t>
  </si>
  <si>
    <t xml:space="preserve">El Jefe de la Oficina  de Control Disciplinario Interno realizará mesa de trabajo bimensual con los profesionales sustanciadores, para retroalimentar las observaciones de acuerdo a su criterio y se  levantara  un acta. </t>
  </si>
  <si>
    <t>Se iniciará las actuaciones disciplinarias y contractuales correspondientes a que haya lugar.</t>
  </si>
  <si>
    <t>Realizar un inventario Semestral de  los expedientes disciplinarios activos, comparando lo físico con lo digital, escaneando informaciòn que no se encuentre digitalizada. Se evidenciará   la actividad  por medio de  acta.</t>
  </si>
  <si>
    <t>Se iniciará las actuaciones disciplinarias y/o contractuales correspondientes a que haya lugar.</t>
  </si>
  <si>
    <t>Sesgar el proceso de contratación o la contratación en favor de un proponente</t>
  </si>
  <si>
    <t>Elaborar estudios previos y pliegos de condiciones específicos cuyos requisitos jurídicos, financieros o técnicos esten direccionados a un oferente en particular. Esto se conoce como pliegos a la medida.
Verificar y evaluar las ofertas de manera subjetiva o errónea, con el fin de favorecer a un oferente en particular
Permitir la modificación y/o cambio de documentos en las propuestas -que mejoren la oferta-, con el propósito de favorecer a un tercero</t>
  </si>
  <si>
    <t>Todos los Procesos de la entidad</t>
  </si>
  <si>
    <t>Posibilidad de afectación reputacional por sesgar el proceso de contratación o la contratación en favor de un proponente, debido a la de elaboración específica de estudios previos y pliegos de condiciones cuyos requisitos jurídicos, financieros o técnicos esten direccionados a un oferente en particular, verificar y evaluar las ofertas de manera subjetiva o errónea, con el fin de favorecer a un oferente en particular o permitir la modificación y/o cambio de documentos en las propuestas -que mejoren la oferta-, con el propósito de favorecer a un tercero</t>
  </si>
  <si>
    <t>Elaborar y expedir certificaciones contractuales que contienen información falsa con el propósito de favorecer a un tercero en lo que a la acreditación de la experiencia se refiere</t>
  </si>
  <si>
    <t>Falta de integridad del funcionario encargado de la etapa precontractual
Ofrecimiento de dádivas y/o beneficios para el servidor público o un tercero.</t>
  </si>
  <si>
    <t>Subdirección de contratación</t>
  </si>
  <si>
    <t>Posibilidad de afectación reputacional por elaborar y expedir certificaciones contractuales que contienen información falsa con el propósito de favorecer a un tercero en lo que a la acreditación de la experiencia se refiere, debido a la falta de integridad del funcionario encargado de la etapa precontractual u 
ofrecimiento de dádivas y/o beneficios para el servidor público o un tercero</t>
  </si>
  <si>
    <t>Probabilidad de perder, manipular o alterar intencionalmente la información y el expediente físico o digital de los procesos contractuales para beneficio propio o de particulares</t>
  </si>
  <si>
    <t xml:space="preserve">Posibilidad de afectación reputacional por la probabilidad de perder, manipular o alterar intencionalmente la información y el expediente físico o digital de los procesos contractuales para beneficio propio o de particulares, debido a la falta de integridad del funcionario encargado de la etapa precontractual u 
ofrecimiento de dádivas y/o beneficios para el servidor público o un tercero </t>
  </si>
  <si>
    <t>No iniciar el proceso de declaratoria de incumplimiento o imposición de multas.</t>
  </si>
  <si>
    <t xml:space="preserve">Posibilidad de afectación reputacional por no iniciar el proceso de declaratoria de incumplimiento o imposición de multas, debido a la falta de integridad del funcionario encargado de la etapa precontractual u 
ofrecimiento de dádivas y/o beneficios para el servidor público o un tercero </t>
  </si>
  <si>
    <t>Revisión requisitos técnicos, jurpidicos y financieros</t>
  </si>
  <si>
    <t>Profesional de la Subdirección de Contratación</t>
  </si>
  <si>
    <t xml:space="preserve">Cada vez que se radique un proceso de contratación </t>
  </si>
  <si>
    <t>Revisar que todos los documentos que alleguen los lideres de procesos cumplan con los requisitos técnicos, jurídicos y financieros</t>
  </si>
  <si>
    <t xml:space="preserve">La revisión se realiza según los lineamientos descritos en la normatividad vigente y la documentación asociada al proceso de Gestión Contractual  </t>
  </si>
  <si>
    <t xml:space="preserve">En caso de incumplimiento de los requisitos, se devolverá al área la documentación para sus respectivos ajustes </t>
  </si>
  <si>
    <t xml:space="preserve">Memorando con la devolución del proceso y/o correo solicitando los ajustes respectivos </t>
  </si>
  <si>
    <t>SDS-CON-INS-004 Concurso de Méritos Abierto
SDS-CON-INS-005 Concurso de Méritos Abierto con precalificación
SDS-CON-INS-015 Contratación Mínima Cunatía
SDS-CON-INS-002 Selección Abreviada Características Técnicas Uniformes Y De Común Utilización (Subasta Inversa)
SDS-CON-INS-003 Selección Abreviada De Menor Cuantía
SDS-CON-INS-017 Selección Abreviada Por Bolsa De Productos</t>
  </si>
  <si>
    <t>Profesionales del área de contratación, cordis (si es necesario) correos electrónicos</t>
  </si>
  <si>
    <t>Revisión formato “Manifestación por parte del comité evaluador de no encontrarse en conflicto de intereses”</t>
  </si>
  <si>
    <t>Cada vez que se radique un proceso de contratación que requiera evaluación de propuestas</t>
  </si>
  <si>
    <t xml:space="preserve">Revisar  que los expedientes contractuales de los procesos de selección contengan el formato “Manifestación por parte del comité evaluador de no encontrarse en conflicto de intereses” debidamente suscrito por los profesionales que integran el comité evaluador.  </t>
  </si>
  <si>
    <t>La revisión se realizará por parte del profesional de la Subdirección de Contratación contra el expediente siempre y cuando se haya definido para el proceso un comité evaluador y verificará que exista el formato debidamente suscrito por cada integrante designado.</t>
  </si>
  <si>
    <t>En caso de que el profesional designado como evaluador manifieste tener una inhabilidad se seguirá el procedimiento descrito en la política de conflicto de intereses</t>
  </si>
  <si>
    <t>Formato SDS-CON-FT-075  “Manifestación por parte del comité evaluador de no encontrarse en conflicto de intereses”</t>
  </si>
  <si>
    <t>SDS-CON-PR-001 Procedimiento Contratación - Etapa Precontractual</t>
  </si>
  <si>
    <t>Profesionales del área de contratación, Formato de manifestación de interés</t>
  </si>
  <si>
    <t>Revisión formato “Pacto de Integridad”</t>
  </si>
  <si>
    <t>Cada vez que se radique una contratación directa</t>
  </si>
  <si>
    <t>Revisar  que los expedientes contractuales de las contrataciones directas -personas naturales-contengan el formato “Pacto de Integridad” debidamente suscrito por los profesional.</t>
  </si>
  <si>
    <t>Una vez reciba el radicado de contratación directa – servicios profesionales y de apoyo a la gestión, el profesional de la Subdirección de Contratación validará en el sistema de contratación SISCO carpeta “Doc. Carpeta Virtual” que se haya aportada el formato “Pacto de Integridad” debidamente diligenciado por el futuro contratista.</t>
  </si>
  <si>
    <t xml:space="preserve">En caso de que no se el profesional designado como evaluador manifieste tener una inhabilidad se seguirá el procedimiento descrito en la política de </t>
  </si>
  <si>
    <t>Formato SDS-CON-FT-076 “Pacto de Integridad”</t>
  </si>
  <si>
    <t>SDS-CON-INS-006 Prestación De Servicios Profesionales Y De Apoyo A La Gestión – Personas Naturales</t>
  </si>
  <si>
    <t>Profesionales del área de contratación, Formato de pacto de integridad</t>
  </si>
  <si>
    <t>Revisón Certificaciones</t>
  </si>
  <si>
    <t xml:space="preserve">Cada vez que se pase para firma un proyecto de certificado de contrato </t>
  </si>
  <si>
    <t>Revisar contra expediente contractual que la información de la certificación corresponda con la de los  documentos que reposan en la carpeta</t>
  </si>
  <si>
    <t>La revisión se realizará contra expediente y se pondrá un visto bueno para firma del Subdirector (a) de Contratación</t>
  </si>
  <si>
    <t>En caso de que la información no corresponda, se devolverá para ajustes sin visto bueno</t>
  </si>
  <si>
    <t>Certificaciones firmadas por la (el) subdirector (a) de contratación</t>
  </si>
  <si>
    <t>SDS-CON-FT-053 Formato Certificación De Contratos</t>
  </si>
  <si>
    <t>Profesionales del área de contratación</t>
  </si>
  <si>
    <t>Verificación de Inventario</t>
  </si>
  <si>
    <t>Personal de archivo de gestión</t>
  </si>
  <si>
    <t>Cada vez que se realice el préstamo de un expediente contractual</t>
  </si>
  <si>
    <t>Ingresar en la base de datos de préstamos documentales</t>
  </si>
  <si>
    <t>Ingresar en la base de datos el número de folios que reposan en el expediente, el  nombre del personal que recibe el préstamo y la fecha en que lo recibió</t>
  </si>
  <si>
    <t>Al recibir el expeiente contractual verificar el N° de folios. En caso de notar que se existen diferencia en los folios del expediente realizar la trazabilidad del préstamo y solicitar por correo a la persona que entregó  que ajuste la carpeta</t>
  </si>
  <si>
    <t>Base de datos de invenario de préstamos de la Subdirección De Contratación</t>
  </si>
  <si>
    <t>SDS-CON-LN-005 Lineamiento De Archivo Contractual</t>
  </si>
  <si>
    <t xml:space="preserve">Solicitud de préstamo de expedientes contractual de persona natural o juridica. </t>
  </si>
  <si>
    <t>Personal de archivo de gestión en cabeza del lider del área.</t>
  </si>
  <si>
    <t>Cada vez que se realice el préstamo de un expediente contractual para controlar la entrada y salida de estos.</t>
  </si>
  <si>
    <t xml:space="preserve">Controlar el prestamo de expedientes Contractuales, para consulta en sala </t>
  </si>
  <si>
    <t xml:space="preserve">
Mediante el registro en el  formato SDS-CON-FT-047 Prestamo de Carpetas </t>
  </si>
  <si>
    <t>En caso de pérdida o extravio de algún expediente se debe  presentar por el abogado sustanciador denuncia por pérdida ante la Fiscalía  General de la Nación y dictar auto por medio del cual se ordene la reconstrucción del expediente perdido o extraviado dando aplicación a la ley disciplinaria.</t>
  </si>
  <si>
    <t xml:space="preserve">Formato SDS-CON-FT-047 Prestamo de Carpetas </t>
  </si>
  <si>
    <t xml:space="preserve">Se diligencia el formato SDS-CON-FT-047 Prestamo de Carpetas </t>
  </si>
  <si>
    <t>Base de datos de incumplimientos actualizada</t>
  </si>
  <si>
    <t>Profesionales designados para llevar el seguimiento a los incumplimienos</t>
  </si>
  <si>
    <t xml:space="preserve">Cada vez que se radique un incumplimiento </t>
  </si>
  <si>
    <t>Mantener la base de incumplimientos actualizada con todos los datos del sujeto a investigar y fechas de respuesta a cda instancia</t>
  </si>
  <si>
    <t xml:space="preserve">Llegada la fecha fijada para el trámite se verificará que se haya dado respuesta </t>
  </si>
  <si>
    <t>En caso de notar que no se ha dado respuesta en la fecha límite, se deberá solicitar al profesional encargado la razón y exigir el trámite</t>
  </si>
  <si>
    <t>Base de seguimiento a incumplimientos contractuales</t>
  </si>
  <si>
    <t>SDS-CON-PR-006 Procedimiento Contratación - Etapa De Ejecución Y Poscontractual</t>
  </si>
  <si>
    <t>Revisión y/o actualización de documentos internos del proceso y normatividad y socialización al equipo de la Subdirección de Contratación</t>
  </si>
  <si>
    <t>I trimestre 2024</t>
  </si>
  <si>
    <t>Remitir el caso a la Oficina de Asuntos Disiciplinarios para que inicie el proceso correspondiente</t>
  </si>
  <si>
    <t>Socialización mediante correos informativos al equipo de la Subdirección de Contratación acerca de la importancia de los valores de la entidad</t>
  </si>
  <si>
    <t xml:space="preserve">Recibir dádivas </t>
  </si>
  <si>
    <t>Falta de integridad y Objetividad en la realización de los informes de auditoria</t>
  </si>
  <si>
    <t xml:space="preserve">NA </t>
  </si>
  <si>
    <t xml:space="preserve">Posibilidad de recibir dádivas, intimidaciones,amenazas o beneficios particulares de fuentes internas o externas  para manipulaciòn de los   Informes de Auditoría o informes de ley en beneficio propio o  de  un tercero </t>
  </si>
  <si>
    <t xml:space="preserve">Socialización y evalaución del codigo  y estatuto del auditor y el código de integridad de la SDS </t>
  </si>
  <si>
    <t xml:space="preserve">El jefe de la Oficina de Control Interno </t>
  </si>
  <si>
    <t xml:space="preserve">Anualmente </t>
  </si>
  <si>
    <t>Socializará y evalaura el estatuto, código de ética del auditor y el codigo de integridad de la SDS.</t>
  </si>
  <si>
    <t xml:space="preserve">Correo elecctrónico y/o reunion y evaluación  </t>
  </si>
  <si>
    <t xml:space="preserve">De presentarse algún presunto acto de corrupción relacionado con las auditorias se comunicará a la Oficina de Asuntos Disciplinarios para que realice lo pertinente y a  la autoridad competente </t>
  </si>
  <si>
    <t xml:space="preserve">Correo electronico  
y/o reunion con acta y resultados de evaluación </t>
  </si>
  <si>
    <t xml:space="preserve">Código del auditor  y estatuto de auditoria </t>
  </si>
  <si>
    <t xml:space="preserve">Humanos tecnológicos </t>
  </si>
  <si>
    <t xml:space="preserve">Suscribir Conflicto de interés </t>
  </si>
  <si>
    <t xml:space="preserve">La técnico administrativa   </t>
  </si>
  <si>
    <t xml:space="preserve">Anualmente 
o cada vez que se suscriba un contrato de prestacion de servicio </t>
  </si>
  <si>
    <t xml:space="preserve">Verificará en el SIDEAP la suscripcion del conflicto de interés  para el  personal de planta y contrato </t>
  </si>
  <si>
    <t xml:space="preserve">Mediante el aplicativo SIDEAP </t>
  </si>
  <si>
    <t xml:space="preserve">De no presentarse los documentos reportará al  contratista o a la direccion de Talento Humano para la toma de correctivos </t>
  </si>
  <si>
    <t xml:space="preserve">Aplicativo SIDEAP y correo electronico </t>
  </si>
  <si>
    <t xml:space="preserve"> Registro Aplicativo SIDEAP </t>
  </si>
  <si>
    <t xml:space="preserve">Revisiòn del preinforme  de auditoria de gestion o calidad y de los informes de ley  </t>
  </si>
  <si>
    <t xml:space="preserve">La jefe de oficina /Profesionales de la OCI </t>
  </si>
  <si>
    <t xml:space="preserve">Mensualmente o Cada vez que se emita un informe de ley según el plan anual de auditorías  </t>
  </si>
  <si>
    <t xml:space="preserve">Verifica   la pertinencia y objetividad  de la informaciòn  contenida dentro de los informes de auditoria y los informes de ley </t>
  </si>
  <si>
    <t xml:space="preserve">Mediante correos electronicos de informes prelimanres y los informes de ley </t>
  </si>
  <si>
    <t xml:space="preserve">De presentarse alguna iirregularidad  el auditor deberà sustentar el  hallazgo  o sus modificaciones con las evidencias y datos  correspondientes, adicionalmente para los informes de ley los hallazgos encontrados. </t>
  </si>
  <si>
    <t xml:space="preserve">Correos electronicos </t>
  </si>
  <si>
    <t xml:space="preserve"> Correos soporte Informe prelimnar y final de auditorìa </t>
  </si>
  <si>
    <t>Cobros indebidos o  favorecimiento a terceros en lo referente a la disponibilidad y entrega de insumos, dispositivos médicos, productos biológicos y medicamentos, a cargo de la Subscretaria de Salud Pública.</t>
  </si>
  <si>
    <t>No aplicación de la normatividad y directrices nacionales o distritales  vigentes</t>
  </si>
  <si>
    <t>Posible afectación economica y reputacional por Cobros indebidos o  favorecimiento a terceros, en lo referente a la disponibilidad y entrega de insumos, dispositivos médicos, productos biológicos y medicamentos, a cargo de la Subscretaria de Salud Pública en el proceso Gestión en Salud Pública, debido a la no aplicación de la normatividad vigente pertinente o de las directrices nacionales distritales e institucionales pertinentes.</t>
  </si>
  <si>
    <t>Cobros indebidos o  favorecimiento a terceros en lo referente a la información de seguimiento y supervisión a los convenios interadministrativos GSP-PSPIC de Salud Pública.</t>
  </si>
  <si>
    <t>Posible insuficiencia en el seguimiento de las actividades realizadas por los auditores contratados para el equipo de apoyo a la supervisión de los acuerdos de voluntades GSP-PSPIC</t>
  </si>
  <si>
    <t xml:space="preserve">Posible afectación economica y reputacional por soborno o cohecho en lo referente a borrar o modificar información institucional en beneficio propio o de terceros, durante la revisión de información o en la elaboración de informes producto del seguimiento realizado a la ejecución de los acuerdos de voluntades suscritos con las Subredes Integradas de Servicios de Salud E.S.E que ejecutan en los territorios las acciones e interacciones GSP-PSPIC. </t>
  </si>
  <si>
    <t>Medicamentos, Dispositivos Médicos e Insumos, destinados a los Programas de Interés en salud Pública, en lo referente a Medicamentos para programas de: Enfermedades Transmitidas por Vectores - ETV, Tuberculosis, Lepra, IRA (INFLUENZA); Dispositivos médicose insumos para la salud, según disponiblidad, a cargo de la Dirección de Salud Colectiva.</t>
  </si>
  <si>
    <t xml:space="preserve">El referente técnico asignado por los directivos de la Subsecretaria de Salud Pública </t>
  </si>
  <si>
    <t>Cada vez que realicen movimientos de insumos o dispositivos médicos (Preservativos de uso masculino, pruebas rapidas según disponibilidad), medicamentos (ETV, Tuberculosis, Lepra, Influenza segun disponibilidad)</t>
  </si>
  <si>
    <t xml:space="preserve">Autorizarán las salidas correspondientes  y verificarán la trazabilidad desde el ingreso, hasta la entrega o disposición, según corresponda, a los prestadores de servicios de salud o a las entidades responsables de la disposición; con los soportes correspondientes, para asegurar el cumplimiento de la normatividady directrices pertinentes.  
</t>
  </si>
  <si>
    <t xml:space="preserve">Revisando el registro de los movimientos  en  las herramientas establecidas, de conformidad con los requisitos, la normativa vigente y autorizarán las salidas correspondientes según disponibilidad, análisis de solicitudes y diretrices.   </t>
  </si>
  <si>
    <t>En caso de no cumplir con los requisitos establecidos, o encontrar inconsistencias, notificarán al superior segun corresponda, dejando registro de dicha actuación y realizarán el seguimiento correspondiente hasta la resolución del caso.</t>
  </si>
  <si>
    <t>Como soporte de la ejecución del control,  se cuenta con:  Correos electronicos,  kardex, arqueos , registros de asistencia técnica, actas de reunión, registros en herramientas de excel y  en formatos establecidos o en los aplicativos pertinentes, según aplique.</t>
  </si>
  <si>
    <t xml:space="preserve">1. PSDS-GSP-PR-015 GESTIÓN DE PLANES, PROGRAMAS Y ACCIONES DE INTERÉS EN SALUD PÚBLICA.
2. SDS-GSP-PR-010 DESARROLLO DE LAS ACCIONES DE LA GESTION DE LA SALUD PUBLICA -GSP DE COMPETENCIA DE LA SUBSECRETARIA DE SALUD PUBLICA Y DE LAS INTERVENCIONES DEL PSPIC.
</t>
  </si>
  <si>
    <t>Recurso humano:Supervisores, Profesionales especializados, universitarios y técnico del equipo.
Recurso tecnologico.
Recurso Financiero.
Recurso fisico.</t>
  </si>
  <si>
    <t>Insumos, dispositivos médicos y productos Biológicos del Programa Ampliado de Inmunizacion - PAI, permanente y COVID-19.</t>
  </si>
  <si>
    <t>Cada vez que se  solicite y/o se tenga disponibilidad  de insumos, dispositivos médicos y productos inmunobiologicos del Programa Ampliado de Inmunización - PAI permanente y Covid-19.</t>
  </si>
  <si>
    <t xml:space="preserve">Revisarán y autorizarán las salidas según sea pertienente y verificarán técnicamente, la trazabilidad desde el ingreso hasta la entrega al prestador de servicios de salud o entidad responsable, según aplique; contando con los soportes correspondientes, para hacer seguimiento al movimiento, dar cumplimiento a la  normatividad vigente y a las directrices establecidas.
</t>
  </si>
  <si>
    <t>Revisando las solicitudes y necesidades de los insumos, dispositivos médicos y productos biologicos del Programa  Ampliado de Inmunización - PAI permanente y Covid -19, frente a la disponiblilidad y directrices para autorizar la entrega de los mismos, estableciendo la coherencia de los registros de  movimientos  en  las herramientas pertinentes, comparando lo autorizado frente a lo entregado y su uso.</t>
  </si>
  <si>
    <t xml:space="preserve">En caso de no encontrar coherencia de la información, informaran de manera inmediata a la referente de insumos de vacunación y según sea pertinente, al Subdirector de Acciones Colectivas,  para los fines pertinentes.  </t>
  </si>
  <si>
    <t xml:space="preserve">Como soporte de la ejecución del control, se cuenta con:
Correos electronicos,  kardex, arqueos, registros de asistencia técnica, actas de reunión, movimiento de biologicos, dispositivos medicos e insumos.
Registros en los aplicativos pertinentes (Aplicativos PAIWEB 2,0  y PAI Distrita), según aplique.
Memorandos y Oficios al MSPS y otros actores del sistema
</t>
  </si>
  <si>
    <t>Recurso humano: Subdirectores,  Profesionales especializados. 
Tecnicos.
Recurso tecnologico.
Recurso Financiero.
Recurso fisico.</t>
  </si>
  <si>
    <t>Seguimiento a las actividades de apoyo a la supervisión de acuerdos de voluntades - contratos o convenios interadministrativos GSP-PSPIC</t>
  </si>
  <si>
    <t xml:space="preserve">El referente técnico  asignado para apoyar la coordinación
técnica y operativa del equipo de
apoyo a la supervisión en conjunto con las lideres asignadas para cada Subred de los
convenios suscritos por la
Secretaría Distrital de Salud para
la ejecución  de la Gestión
de la Salud Pública – GSP y el  Plan de Salud
Pública de Intervenciones
Colectivas – PSPIC </t>
  </si>
  <si>
    <t>Cada vez que se dispone de la información generada por los auditores, realiza la revisión de las actas retrospectivas, listas de chequeo  y matriz de glosas, en el marco del seguimiento a los acuerdos de voluntades.</t>
  </si>
  <si>
    <t>Revisarán la información que sea acorde con los insumos recibidos e informe de gestión validado por la SDS y establecerá la necesidad de rotación de los auditores por producto y/o entorno o proceso tranversal según se concidere.</t>
  </si>
  <si>
    <t>Revisando los soportes como actas de seguimiento retrospectivo, listas de chequeo  y matriz de glosas, de manera que la información sea coherente con el informe de gestión respectivo.</t>
  </si>
  <si>
    <t xml:space="preserve">En caso de no encontrar coherencia se devuelve al auditor para que realice los ajustes  y según sea pertinente se notifica a Subdirectores(as) como supervisores de los acuerdos de voluntades para los fines pertinentes. </t>
  </si>
  <si>
    <t>Como soporte de la ejecución del control, se cuenta con: Actas de reunión para revisión de soportes de seguimiento donde se concidera o no la rotación de auditores</t>
  </si>
  <si>
    <t>Procedimiento:
SDS-GSP-PR-006 SEGUIMIENTO A LAS ACCIONES EN SALUD PÚBLICA
Lineamiento:
SDS-GSP-LN-001   SEGUIMIENTO A LA EJECUCIÓN DE LAS ACCIONES PSPIC Y LA GESTIÓN DE LA SALUD PÚBLICA CONTRATADO CON LAS SUBREDES INTEGRADAS DE SERVICIOS DE SALUD – ESE</t>
  </si>
  <si>
    <t>Recurso humano: Subdirectores,  Profesionales especializados. 
Tecnicos.
Recurso tecnologico.
Recurso Financiero.
Recurso fisico</t>
  </si>
  <si>
    <t xml:space="preserve">1. PSDS-GSP-PR-015 GESTIÓN DE PLANES, PROGRAMAS Y ACCIONES DE INTERÉS EN SALUD PÚBLICA.
2. SDS-GSP-PR-010 DESARROLLO DE LAS ACCIONES DE LA GESTION DE LA SALUD PUBLICA -GSP DE COMPETENCIA DE LA SUBSECRETARIA DE SALUD PUBLICA Y DE LAS INTERVENCIONES DEL PSPIC.
3. SDS-BYS-INS-035 RECEPCION, ALMACENAMIENTO Y DISTRIBUCION DE MEDICAMENTOS, BIOLOGIOCS, DISPOSITIVOS MEDICOS E INSUMOS Y CONTROL DE FECHAS DE VENCIMIENTO. </t>
  </si>
  <si>
    <t>Establecer las actividades o requisitos para  verificar trazabilidad de entradas y salidas.
Documentar los resultados de aplicación del control y dar alertas según sea pertinente</t>
  </si>
  <si>
    <t xml:space="preserve">20/01/2023 al 
31/12/2024
</t>
  </si>
  <si>
    <t xml:space="preserve">Revisar el caso, documentarlo y hacer la respectiva notificación al directivo responsable y a la oficina de asuntos disciplinarios o quien haga sus veces, o a las entidades y autoridades competentes, según corresponda. </t>
  </si>
  <si>
    <t>Establecer en el Plan de Acción para el seguimiento o interventoría de la ejecución de los
contratos o convenios interadministrativos GSP-PSPIC, incluyendo la actividad : Seguimiento GSP-PSPIC, en la cual se revisan las actas.
Establecer en el procedimiento de seguimiento la actividad relacionada con: Realizar seguimiento administrativo, técnico, financiero y jurídico a las acciones
contratadas, para la ejecución del Plan de Salud Pública de Intervenciones Colectivas y
a las de apoyo a la gestión de la salud pública, según normatividad, obligaciones
contractuales y lineamiento establecido.
Documentar en actas la revisión.</t>
  </si>
  <si>
    <t xml:space="preserve">13/07/2023 al 
15/12/2024
</t>
  </si>
  <si>
    <t xml:space="preserve">Revisar el caso, documentarlo y hacer la respectiva notificación a los o las supervisores de los convenios y de los auditores involucrados, para las acciones pertinentes y notificación a lasdependencias,  entidades y autoridades competentes, según corresponda. </t>
  </si>
  <si>
    <t>Intereses particulares o de  otros grupos</t>
  </si>
  <si>
    <t>Abuso del cargo</t>
  </si>
  <si>
    <t>Aprovechamiento de los espacios institucionales para realizar gestión política para el favorecimiento propio o de un tercero.</t>
  </si>
  <si>
    <t>Posibilidad de Afectación reputacional por suministrar Información errónea a la ciudadanía para el ejercicio del Control Social y Diálogos ciudadanos, favoreciendo intereses particulares.</t>
  </si>
  <si>
    <t>ENCUESTA</t>
  </si>
  <si>
    <t>El director (a)</t>
  </si>
  <si>
    <t>Trimestralmente</t>
  </si>
  <si>
    <t>Verificará la existencia de actos de corrupción</t>
  </si>
  <si>
    <t>Mediante encuestas a los usuarios, en referencia al uso de los espacios Institucionales</t>
  </si>
  <si>
    <t>En caso de constatar tal situación trasladar a la Oficina de Asuntos disciplinarios, los indicios de desviación.</t>
  </si>
  <si>
    <t xml:space="preserve">Encuestas realizadas a la comunidad / correos con diferentes respuestas </t>
  </si>
  <si>
    <t>Humano</t>
  </si>
  <si>
    <t>CODIGO</t>
  </si>
  <si>
    <t>Realizará socialización continua</t>
  </si>
  <si>
    <t>Con el personal de primera línea, del código de Integridad de la SDS  conforme a la Resolución 1954/2018, como mecanismo preventivo.</t>
  </si>
  <si>
    <t>En caso de que no se socialice, se remtirá la información del código de Integridad vía  correo electrónico y se reiterará  la forma de ser y de actuar de nuestros funcionarios y colaboradores.</t>
  </si>
  <si>
    <t>Actas de comité y TIP de calidad de socialización.</t>
  </si>
  <si>
    <t>INFORMACIÓN</t>
  </si>
  <si>
    <t xml:space="preserve">Los profesionales del equipo de control social </t>
  </si>
  <si>
    <t>Cada vez que se requiera</t>
  </si>
  <si>
    <t>convocarán previamente a los enlaces técnicos, ejecutores o demás actores que consideren pertinentes</t>
  </si>
  <si>
    <t xml:space="preserve">para que asistan a las mesas de diálogo programadas con las Veedurías Ciudadanas y entreguen información sobre los planes, programas o proyectos que son objeto de control social. Así mismo el equipo de control social realizará seguimiento a los compromisos allegados en las mesas de diálogo. </t>
  </si>
  <si>
    <t>En caso de no recibir información en las mesas de diálogo, se reprogramará el espacio, informando a los actores involucrados.</t>
  </si>
  <si>
    <t xml:space="preserve">Seguimiento a los compromisos
Mesas de diálogo </t>
  </si>
  <si>
    <t xml:space="preserve">Actas  </t>
  </si>
  <si>
    <t>BASE VEEDURIAS CIUDADANAS</t>
  </si>
  <si>
    <t>El Líder del Procedimiento (Subdirector Territorial)</t>
  </si>
  <si>
    <t>Mensualmente</t>
  </si>
  <si>
    <t xml:space="preserve">realizará seguimiento del estado de las veedurías ciudadanas en salud, </t>
  </si>
  <si>
    <t>en reunión de equipo, a través de una base de datos diligenciada por el grupo de control social, ésta debe contener datos generales de la veeduría, enlaces técnicos, contactos, últimos avances y compromisos estratégicos.</t>
  </si>
  <si>
    <t>en caso de no encontrar actualizada la información se solicitará a los profesionales del grupo los ajustes respectivos.</t>
  </si>
  <si>
    <t>Bases de datos de las Veedurías ciudadanas actualizada,
Acta de reunión de equipo de control social para la verificación y seguimiento del estado de las veedurías.</t>
  </si>
  <si>
    <t>Base de datos
acta</t>
  </si>
  <si>
    <t>RENDICIÓN DE CUENTAS</t>
  </si>
  <si>
    <t>Semestralmente</t>
  </si>
  <si>
    <t>aplicarán y analizarán los resultados de la “Consulta de expectativas de información para la Rendición de Cuentas”</t>
  </si>
  <si>
    <t>presentando esta información al equipo directivo para que sus resultados sean tenidos en cuenta frente a los temas a tratar durante los diálogos ciudadanos.</t>
  </si>
  <si>
    <t>Invitar a la ciudadanía a consultar en la Sede electrónica de la entidad, el botón de Rendición de cuentas.</t>
  </si>
  <si>
    <t>Resultado de consulta de expectativas de información; 
acta de reunión de presentación de resultados de la consulta de expectativas de información; 
actas de definición de temas a tratar en los espacios de diálogo; 
consolidado de las invitaciones a la ciudadanía a consultar en la Sede electrónica de la entidad, el botón de Rendición de cuentas.</t>
  </si>
  <si>
    <t>Documento 
Actas</t>
  </si>
  <si>
    <t>Realizar las encuestas en los diferentes Eventos realizados.</t>
  </si>
  <si>
    <t>Vigencia 2024</t>
  </si>
  <si>
    <t>Poner en conocimiento a la Oficina de asuntos disciplinarios, de los hechos que generan la posible materialización del Riesgo.</t>
  </si>
  <si>
    <t>Plan de acción de Rendición de cuentas
e Informes de Dialogos</t>
  </si>
  <si>
    <t>Monitoreo Trimestral</t>
  </si>
  <si>
    <t>Realizar trámites de IVC sin el cumplimiento de los requisitos recibiendo dádivas o beneficios a nombre propio o de terceros.</t>
  </si>
  <si>
    <t>Falta de seguimiento y actualización de la base de datos a los tramites y servicios en la pagina WEB y en el Sistema Único de Información de Trámites SUIT.</t>
  </si>
  <si>
    <t>No Aplica</t>
  </si>
  <si>
    <t>Posibilidad de afectación reputacional y/o economica por realizar trámites de IVC sin el cumplimiento de los requisitos recibiendo dádivas o beneficios a nombre propio o de terceros debido a falta de seguimiento y actualización de la base de datos a los tramites y servicios en la pagina WEB y en el Sistema Único de Información de Trámites SUIT.</t>
  </si>
  <si>
    <t>Dar concepto de conformidad con los estándares establecidos en el SUH   sin el cumplimiento de los requisitos recibiendo dádivas o beneficios a nombre propio o de terceros.</t>
  </si>
  <si>
    <t xml:space="preserve">Falta de seguimiento a las visitas a los prestadores de servicios de salud realizadas por las comisiones verificadoras de habilitacion </t>
  </si>
  <si>
    <t xml:space="preserve">Posibilidad de afectación reputacional y/o económica por dar concepto de conformidad con los estándares establecidos en el SUH sin el cumplimiento de los requisitos recibiendo dádivas o beneficios a nombre propio o de terceros debido a la Falta de seguimiento a las visitas a los prestadores de servicios de salud realizadas por las comisiones verificadoras de habilitación. </t>
  </si>
  <si>
    <t>Verificación requisitos</t>
  </si>
  <si>
    <t>El profesional del proceso responsable de actualizar la información de trámites y servicios</t>
  </si>
  <si>
    <t>verificará trimestralmente</t>
  </si>
  <si>
    <t>que la información publicada en el sistema de información SUIT y pagina WEB se encuentre actualizada</t>
  </si>
  <si>
    <t>acorde con los requisitos del trámite</t>
  </si>
  <si>
    <t>en caso de presentarse una novedad informará a la Dirección y solicitara a la dirección competente para que se realice el ajuste</t>
  </si>
  <si>
    <t>comno evidencia se deja el correo electrónico con el soporte de la revisión de la Pagina web.</t>
  </si>
  <si>
    <t>Definidas en cada uno de los respectivos procedimientos de los diferentes tramites asociados.  (Ver ISOLUCIÓN)</t>
  </si>
  <si>
    <t>Tecnológicos 
Humanos</t>
  </si>
  <si>
    <t>El profesional del proceso responsable de la verificación de la información sumistrada por el usuario para los trámites y servicios de inhumación y cremación</t>
  </si>
  <si>
    <t>verificará mensualmente</t>
  </si>
  <si>
    <t>Que la información suministrada por los usuarios sea veraz y confiable para la realización del trámite.</t>
  </si>
  <si>
    <t>en caso de presentarse una novedad o falsedad de docuemntos, informará a la Dirección y se realizarán las acciones pertinentes</t>
  </si>
  <si>
    <t>como evidencia se deja el correo electrónico y plantilla con el soporte de la revisión .</t>
  </si>
  <si>
    <t>Definidas en cada uno de los respectivos procedimientos de los diferentes trámites asociados.  (Ver ISOLUCIÓN)</t>
  </si>
  <si>
    <t>Verificación de encuesta o verificación telefónica,  de satisfacción de la visita de inspección, vigilancia y control, vía correo electrónico</t>
  </si>
  <si>
    <t>El profesional del proceso responsable</t>
  </si>
  <si>
    <t>Realizara de manera trimestral</t>
  </si>
  <si>
    <t>La Verificación de encuesta enviada por correo electrónico  o verificación telefónica de satisfacción de la visita de inspección, vigilancia y control, sobre el desarrollo de la visita y comportamiento de los comisionados.</t>
  </si>
  <si>
    <t>Verificando las respuestas de la encuesta diligenciadas por los prestadores visitados o tomando al azar diez (10) de los prestadores visitados para realizar verificación telefónica.  Para lo anterior diligenciará la planilla de control de lo consignando, lo informado por el prestador y el análisis de la encuesta.</t>
  </si>
  <si>
    <t>En caso de que este análisis identifique algún acto de corrupción,  se informará a la Direción para que se analice el caso y se tomen las medidas correspondientes,.</t>
  </si>
  <si>
    <t>Como evidencia del control se deja  la planilla de control y el análisis de la encuesta.</t>
  </si>
  <si>
    <t xml:space="preserve">Planilla de registro de llamadas o envío de correo electrónico y análisis de la encuesta. </t>
  </si>
  <si>
    <t>Acciones de entrenamiento en relación a los requerimientos establecidos para el trámite y el fomento del actuar del funcionario público</t>
  </si>
  <si>
    <t>Notificación a directivo responsable y a la Oficina de Control Disciplinario Interno o quien haga sus veces y autoridades competentes según corresponda</t>
  </si>
  <si>
    <t>Acciones de entrenamiento en relación a los requerimientos establecidos para el cumplimiento de los  estandares del SUH y el fomento del actuar del funcionario público</t>
  </si>
  <si>
    <t>Realizar trámites u ofrecer servicios de IVC - SP, sin el cumplimiento de los requisitos o parámetros establecidos, recibiendo dádivas o beneficios a nombre propio o de terceros</t>
  </si>
  <si>
    <t>No aplicación de las normas y directrices vigentes referentes a políticas de integridad, antisoborno, y corrupción. 
Deficiencia en los procesos de divulgación de las normas y requisitos necesarios para la realización de trámites y procesos</t>
  </si>
  <si>
    <t xml:space="preserve"> Posible afectación reputacional por realizar trámites u ofrecer servicios de IVC - SP, sin el cumplimiento de los requisitos o parámetros establecidos, recibiendo dádivas o beneficios a nombre propio o de terceros, debido a la falta de seguimiento a la gestión de trámites, publicación de requisitos para los usuarios que requieren trámites.</t>
  </si>
  <si>
    <t>TRÁMITES  IVC</t>
  </si>
  <si>
    <t xml:space="preserve">Profesional  designado </t>
  </si>
  <si>
    <t xml:space="preserve">Semestral  </t>
  </si>
  <si>
    <t>Verificar la participación de los funcionarios en las jornadas de socialización de la normativa de anticorrupción y los valores institucionales  para los trámites y otros procedimientos administrativos IVC En Salud Pública, así como la aplicación de los conocimientos adquiridos.</t>
  </si>
  <si>
    <t xml:space="preserve">                                        
 Revisar los registros de participación en las jornadas de socialización de  presuntos actos de corrupción   verificando la asistencia de los referentes de los tramites y otros procedimientos administrativos </t>
  </si>
  <si>
    <t>En caso de presentarse  inasistencia  se informara el superior inmediato para las acciones requeridas.</t>
  </si>
  <si>
    <t xml:space="preserve">Reporte vía correo electrónico. </t>
  </si>
  <si>
    <t xml:space="preserve">Plan operativo de gestión y desempeño. </t>
  </si>
  <si>
    <t xml:space="preserve">Humanos, Tecnológicos. </t>
  </si>
  <si>
    <t xml:space="preserve">TRÁMITES Y SERVICIOS IVC SP WEB: </t>
  </si>
  <si>
    <t xml:space="preserve">Profesional o técnico designado </t>
  </si>
  <si>
    <t xml:space="preserve">Trimestral </t>
  </si>
  <si>
    <t xml:space="preserve"> Realizará monitoreo de la información publicada de trámites y servicios,</t>
  </si>
  <si>
    <t>Verificando que la información publicada en el sistema de información SUIT y página WEB se encuentre actualizada y acorde con los requisitos del trámite</t>
  </si>
  <si>
    <t>En caso de no encontrar coherencia, solicitará a la dependencia competente el ajuste mediante correo electrónico.</t>
  </si>
  <si>
    <t xml:space="preserve">Página web </t>
  </si>
  <si>
    <t>Programa de Transparencia y Ética Pública (PTEP)</t>
  </si>
  <si>
    <t xml:space="preserve">QUIEJAS Y RECLAMOS </t>
  </si>
  <si>
    <t>Identificar quejas y reclamos  relacionados con presuntos actos de corrupción en las funciones de Inspección Vigilancia
y Control de establecimientos abiertos al público</t>
  </si>
  <si>
    <t xml:space="preserve">Hacer seguimiento a quejas y reclamos  relacionados con presuntos actos de corrupción en las funciones de Inspección Vigilancia y Control de establecimientos abiertos al público mediante presentación por las Subredes en el comité operativo  </t>
  </si>
  <si>
    <t>En caso de no encontrar coherencia,  solicitará a las Subredes ampliación mediante correo electrónico.</t>
  </si>
  <si>
    <t xml:space="preserve">Presentación </t>
  </si>
  <si>
    <t>Lineamientos PSPIC</t>
  </si>
  <si>
    <t xml:space="preserve">ACTOS DE CORRUPCIÓN </t>
  </si>
  <si>
    <t xml:space="preserve">Realizar seguimiento a presuntos actos de corrupción. </t>
  </si>
  <si>
    <t xml:space="preserve">Mediante matriz de seguimiento a presuntos actos de corrupción entregada por cada una de las Subredes </t>
  </si>
  <si>
    <t xml:space="preserve">base de datos </t>
  </si>
  <si>
    <t>Análisis Causal, Revisión de diseño de controles</t>
  </si>
  <si>
    <t>Se iniciará proceso con el funcionario que presente acto de corrupción ante el proceso de acuerdo con la normatividad vigente</t>
  </si>
  <si>
    <t>Ejercer la defensa Judicial favoreciendo  intereses ajenos a la Entidad.</t>
  </si>
  <si>
    <t>Falta de control sobre el desarrollo de los procesos judiciales
Falta de control sobre los registros que soportan la inexistencia de conflictos de interés por parte de los apoderados</t>
  </si>
  <si>
    <t xml:space="preserve">Posibilidad de favorecer intereses ajenos a la entidad al ejercer la defensa Judicial de la misma debido a que la falta de control sobre el desarrollo de los procesos y los registros que soportan la inexistencia de conflicto de interés por parte de los apoderados.
</t>
  </si>
  <si>
    <t>Resolver recursos contrarios a derecho para favorecer intereses privados</t>
  </si>
  <si>
    <t>Falta de control sobre el desarrollo de los procesos judiciales
Falta de control sobre los registros que soportan la inexistencia de conflictos de interés por parte de los apoderados
Falta de revisión previa a la aprobación de proyectos de resolución que resuelvan recursos</t>
  </si>
  <si>
    <t>Posibilidad de favorecer intereses privados al resolver recursos contrarios a derecho de la entidad, debido a la falta de control sobre los registros que soportan la inexistencia de conflictos de interés y la revisión previa de los proyectos de resolución que resuelven recursos</t>
  </si>
  <si>
    <t>Defensa Judicial JUR-CORRUP 1</t>
  </si>
  <si>
    <t>Profesional especializado</t>
  </si>
  <si>
    <t>Cada vez que ingrese un proceso judicial, conciliaciones o proceso administrativo</t>
  </si>
  <si>
    <t>Validar en el momento del reparto y elaboración del poder que el abogado del caso no se encuentre incurso en causal alguna de inhabilidad, incompatibilidad, prohibición o conflicto de intereses para la defensa judicial.</t>
  </si>
  <si>
    <t>Hacer firmar el Formato "Declaración de no conflicto de intereses y no inhabilidad / incompatibilidad" por el abogado asignado y diligenciar la casilla de inhabilidad "Cuenta con Formato de Inhabilidad" en la base de datos correspondiente al proceso.</t>
  </si>
  <si>
    <t>En caso de de faltar el formato "Declaración de no conflicto de intereses y no inhabilidad / incompatibilidad" lo deberá diligenciar y solicitar al abogado la firma del mismo</t>
  </si>
  <si>
    <t>Formato "Declaración de no conflicto de intereses y no inhabilidad / incompatibilidad"
Bases de datos del correspondiente proceso</t>
  </si>
  <si>
    <t>SDS-JUR-PR-001 Procesos Judiciales
SDS-JUR-PR-007 Conciliaciones</t>
  </si>
  <si>
    <t xml:space="preserve">Humanos y tecnológicos </t>
  </si>
  <si>
    <t>Segunda instancia JUR-CORRUP 1</t>
  </si>
  <si>
    <t xml:space="preserve">Profesional especializado </t>
  </si>
  <si>
    <t>Cada vez que ingrese un expediente nuevo</t>
  </si>
  <si>
    <t xml:space="preserve">
Validar en el momento del reparto que el abogado no se halla incurso en causal alguna de inhabilidad, incompatibilidad, prohibición o conflicto de intereses, para realizar la sustanciación de la investigación administrativa; así mismo, validar que el abogado en caso de sobrevenir alguna circunstancia que afecte el ejercicio de la sustanciación en beneficio propio o de un tercero, en la investigación Administrativa, se declarará impedido para adelantar cualquier tipo de actuación en la investigación.</t>
  </si>
  <si>
    <t>Entregar el expediente y validar la firma del abogado encargado en la casilla "Certifico que NO me encuentro inhabilitado" y diligenciar la casilla de inhabilidad en la base de datos de segunda instancia.</t>
  </si>
  <si>
    <t>En caso de de faltar el formato y/o la firma de certificación de inhabilidad, deberá diligenciar y solicitar al abogado la firma del mismo.</t>
  </si>
  <si>
    <t xml:space="preserve">Formato de entrega y validación de inhabilidad de segunda intancia
Base de datos segunda instancia </t>
  </si>
  <si>
    <t>SDS-JUR-PR-003 Recursos de reposición de única instancia y trámite de la segunda instancia
SDS-JUR-PR-009 Recursos disciplinarios - segunda instancia</t>
  </si>
  <si>
    <t>Asesoría legal JUR-CORRUP 2</t>
  </si>
  <si>
    <t xml:space="preserve">Secretaría-Asistente </t>
  </si>
  <si>
    <t>Cada vez que se envíe un proyecto de resolución para firma al despacho</t>
  </si>
  <si>
    <t>Garantizar que el proyecto de resolución se encuentre revisado y con Vo.Bo del Jefe de la Oficina Asesora Jurídica</t>
  </si>
  <si>
    <t xml:space="preserve">Hacer firmar el proyecto de resolución por parte del Jefe de la Oficina Asesora Jurídica </t>
  </si>
  <si>
    <t xml:space="preserve">En caso de que no tenga el Vo.Bo del Jefe de la Oficina Asesora Jurídica deberá solicitar al sustanciador realizar los ajustes al proyecto de resolución </t>
  </si>
  <si>
    <t>Relación de proyectos de resolución entregados en el Despacho para firma del Secretario.</t>
  </si>
  <si>
    <t>SDS-JUR-PR-004 Asesoría legal</t>
  </si>
  <si>
    <t xml:space="preserve">Revisar la documentación relacionada con el proceso para determianar su adecuación y actualización, y socializar a los  involucrados. Si corresponde.  </t>
  </si>
  <si>
    <t xml:space="preserve">
DETECTA LA CAUSA 
INFORMA SUPERIOR PARA TOMAR ACCIONES</t>
  </si>
  <si>
    <t>Favorecer a terceros con la intención de suscribir contratos de OPS o que se deriven de un proceso de selección objetiva, por un valor superior a lo indicado en el presupuesto anual de la entidad.</t>
  </si>
  <si>
    <t>Coacción a funcionarios encargados de la aprobación de los diferentes procesos contractuales del Despacho y desviación de información confidencial.</t>
  </si>
  <si>
    <t>Posibilidad de afectación Económica y Reputacional por favorecer a terceros con la intención de suscribir contratos de OPS o que se deriven de un proceso de selección objetiva, por un valor superior a lo indicado en el presupuesto anual de la entidad debido a coacción a funcionarios encargados de la aprobación de los diferentes procesos contractuales del Despacho y desviación de información confidencial.</t>
  </si>
  <si>
    <t>Revisión de los expedientes contractuales</t>
  </si>
  <si>
    <t>Los referentes jurídicos y/o administrativos del Despacho</t>
  </si>
  <si>
    <t>Diariamente</t>
  </si>
  <si>
    <t>Revisar los expedientes contractuales para verificar la consistencia en los diferentes instrumentos y posteriormente aprobar en la plataforma del SECOP II</t>
  </si>
  <si>
    <t>Mediante la verificación jurídica, administrativa y Financiera, previo a la aprobación de la plataforma del SECOP II.</t>
  </si>
  <si>
    <t>En caso de que exista coacción, se debe informar al área correspondiente del gasto de dicha anomalía para suspender el trámite contractua y realizar las correcciones  a que haya lugar.</t>
  </si>
  <si>
    <t>Plataforma SECOP II y bases de datos de Honorarios de contratos de OPS y estudios previos.</t>
  </si>
  <si>
    <t>Custodia de información confidencial</t>
  </si>
  <si>
    <t xml:space="preserve">Custodian la información confidencial y se controla. </t>
  </si>
  <si>
    <t xml:space="preserve">Mediante el control de acceso al despacho por personal no autorizado y a partir de la oportunidad en la revisión y verificaciòn juridica y administrativa previa a la aprobaciòn.
</t>
  </si>
  <si>
    <t>En caso que se desvié la información confidencial se adelantaran la investigaciones pertinentes</t>
  </si>
  <si>
    <t xml:space="preserve">
Controles de acceso al despacho</t>
  </si>
  <si>
    <t>Manual de contratación de la Secretaría Distrital de Salud Fondo Financiero Distrital de Salud (SDS-CON-MN-001)
Lineamiento para la elaboración de estudios de mercado y del sector de los procesos de selección (SDS-CON-LN-003)
Lineamiento para la elaboración de contratos y convenios (SDS-CON-LN-002)</t>
  </si>
  <si>
    <t>Humano
Tecnológico Financiero</t>
  </si>
  <si>
    <t xml:space="preserve">
Asistir a una capacitación anual sobre las modificaciones del manual de contratacion y de la plataforma SECOP II
Contrastar los expedientes contractuales con la información disponible en la entidad para verificar la consistencia de la misma
Establecer y/o mantener los controles de acceso al Despacho del Secretario</t>
  </si>
  <si>
    <t>Informar al ordenador del gasto y a las autoridades competentes para que se tomen las medidas legales pertinentes, dado que no se atendió dentro del proceso de selección los principios de planeación y la selección objetiva.</t>
  </si>
  <si>
    <t>Modificar las actividades requeridas para el logro de las metas establecidas de los Proyectos de Inversión del FFDS, para beneficio a terceros.</t>
  </si>
  <si>
    <t>Debilidad de los sistemas de control y/o supervisión</t>
  </si>
  <si>
    <t>Todos</t>
  </si>
  <si>
    <t>Posibilidad de afectacion Económico y Reputacional por Modificar las actividades requeridas para el logro de las metas establecidas de los Proyectos de Inversión del FFDS, para beneficio a terceros. debido a Debilidad de los sistemas de control y/o supervisión</t>
  </si>
  <si>
    <t>Permitir que la ejecución  de los recursos de inversión del FFDS, sea desviada hacia actividades que no le apunten al cumplimiento de las políticas, planes y proyectos de la entidad</t>
  </si>
  <si>
    <t>Falta de adhesión a las directrices, lineamientos, protocolos y/o normatividad dispuesta.</t>
  </si>
  <si>
    <t>Posibilidad de afectacion Económico y Reputacional por Permitir que la ejecución  de los recursos de inversión del FFDS, sea desviada hacia actividades que no le apunten al cumplimiento de las políticas, planes y proyectos de la entidad debido a Falta de adhesión a las directrices, lineamientos, protocolos y/o normatividad dispuesta.</t>
  </si>
  <si>
    <t>Lineamiento</t>
  </si>
  <si>
    <t>El Director de Planeación Sectorial y su equipo técnico de proyectos</t>
  </si>
  <si>
    <t>anualmente</t>
  </si>
  <si>
    <t>socializarán los lineamientos para la formulación, actualización y seguimiento de los proyectos de inversión del FFDS</t>
  </si>
  <si>
    <t>a través de circular que incluye los lineamientos de ejecución y cierre mensual presupuestal y de tesorería</t>
  </si>
  <si>
    <t>En caso que no se formalice la circular de lineamientos, el equipo técnico de proyectos de la DPS enviará los lineamientos vía correo electrónico</t>
  </si>
  <si>
    <t>Circular emitida y/o correo electrónico.</t>
  </si>
  <si>
    <t>SDS-PGS-PR-062 FORMULACIÓN PROYECTOS DE INVERSIÓN DEL FFDS
SDS-PGS-PR-061 MODIFICACIÓN Y ACTUALIZACIÓN PROYECTOS DE INVERSIÓN DEL FFDS
SDS-PGS-PR-056 SEGUIMIENTO A LOS PROYECTOS DE INVERSIÓN DEL FFDS</t>
  </si>
  <si>
    <t>Humano
Tecnológico</t>
  </si>
  <si>
    <t>Comité de seguimiento</t>
  </si>
  <si>
    <t>mensualmente</t>
  </si>
  <si>
    <t>revisarán y socializarán la información generada por los Gestores de Proyectos del FFDS frente a la ejecución de los proyectos de inversión</t>
  </si>
  <si>
    <t>a través del Comité de Seguimiento, de los cuales se realizarán actas de reunión.</t>
  </si>
  <si>
    <t>En caso de que no se realice la sesión del Comité, se remtirá la información vía  correo electrónico y se reiterará el uso de la herramienta PowerBi para el respectivo seguimiento</t>
  </si>
  <si>
    <t>Actas del comité,  correo electrónico, acceso Powerbi</t>
  </si>
  <si>
    <t>Seguimiento proyectos</t>
  </si>
  <si>
    <t>Los referentes de proyectos de la DPS, gestores de Proyectos y sus referentes</t>
  </si>
  <si>
    <t>revisarán la coherencia y calidad de la información reportada en cada uno de sus proyectos de inversión</t>
  </si>
  <si>
    <t>a través de las matrices de seguimiento a los proyectos de inversion reportados por los referentes técnico, financiero y los directores ejecutores del proyecto, de las cuales se remite correo electronico emitiendo aval técnico y financiero de la información.</t>
  </si>
  <si>
    <t>En caso que no se envíe la información solicitada, no quedará avalado por la Dirección de Planeación Sectorial, ni publicado en el repositorio y se reiterará la solicitud.</t>
  </si>
  <si>
    <t>Matrices de seguimiento a los proyectos de inversion
Correos electronicos asociados</t>
  </si>
  <si>
    <t>Comité Directivo</t>
  </si>
  <si>
    <t>reportarán al Comité Directivo el cumplimiento de la programación de ejecución de recursos en el Plan Anual de Adquisiciones, y el avance de las metas del Plan Territorial de Salud y Plan de Desarrollo Distrital.</t>
  </si>
  <si>
    <t xml:space="preserve">a través de informe que se socializa en  las reuniones mensuales del Comité Directivo </t>
  </si>
  <si>
    <t xml:space="preserve">En caso de que no se realice la sesión del Comité Directivo, se remtirá la información vía  correo electrónico </t>
  </si>
  <si>
    <t>Informe socializado, correos electrónicos</t>
  </si>
  <si>
    <t xml:space="preserve"> Formulación de PAA</t>
  </si>
  <si>
    <t>garantizarán que la elaboración del PAA, conlleve al cumplimieto de las metas del proyecto, PDD y PTS, uso eficiente de las fuentes de financiación y lineamientos de contratación frente a modalidades de contrato.</t>
  </si>
  <si>
    <t>a través de mesas de trabajo con los gestores, referentes de proyectos, rdelegados de la Dirección Financiera y delegados de la Subdirección de contratación.</t>
  </si>
  <si>
    <t>En caso de que no se realicen las mesas de trabajo no se aprobará el PAA por parte de la DPS</t>
  </si>
  <si>
    <t>Actas de las mesas de trabajo y/o correos asociados a la decisión tomada</t>
  </si>
  <si>
    <t>En caso de que no se realice la sesión del Comité, se remtirá la inofrmación vía  correo electrónico y se reiterará el uso de la herramienta PowerBi para el respectivo seguimiento</t>
  </si>
  <si>
    <t>garantizarán que la elaboración  del PAA, conlleva al cumplimieto de las metas del proyecto, PDD y PTS, uso eficiente de las fuentes de financiación y lineamientos de contratación frente a modalidades de contrato.</t>
  </si>
  <si>
    <t>Establecer seguimiento mensual a traves del comité Directivo
Responsable equipo de Proyectos de la DPS</t>
  </si>
  <si>
    <t>Se solicitará a los Gestores y referentes de los Proyectos de Inversion del FFDS, a través de memorando y/o correo electronico, su participacion en los espacios de asistencia y asesoria tecnica con los referentes de proyectos de la DPS para mitigar el riesgo establecido.</t>
  </si>
  <si>
    <t>Favorecimiento propio y a tercero.</t>
  </si>
  <si>
    <t>Discrecionalidad en la aprobación de viabilidad de los proyectos de inversión</t>
  </si>
  <si>
    <t>Posibilidad de afectación económica y reputacional,  por favorecimiento a terceros, debido a la discrecionalidad en la aprobación de viabilidad de proyectos de inversión en las Subredes Integradas de Servicios de Salud</t>
  </si>
  <si>
    <t>Verificación de las listas de chequeo e idoneidad de la información presentada.</t>
  </si>
  <si>
    <t xml:space="preserve">Referentes de proyectos de las direcciones pertinentes según el tipo de proyecto:
- Análisis de Entidades Públicas Distritales del Sector Salud
- Infraestructura y Tecnología
</t>
  </si>
  <si>
    <t>Cada vez que se presente un proyecto de inversión</t>
  </si>
  <si>
    <t>Revisar que se presente la documentación e información completa conforme a la lista de chequeo de los diferentes formatos definidos para la presentación de preyectos de inversión.</t>
  </si>
  <si>
    <t>Verificando el completo diligenciamiento de las listas de chequeo, la idoneidad y calidad de la información y  realizado los análisis técnicos respectivos en cada componente (infraestructura o dotación).</t>
  </si>
  <si>
    <t>No emitir concepto técnico integral y/o de viabilidad del proyecto y solicitar ajustes al proyecto y/o anexos técnicos faltantes.</t>
  </si>
  <si>
    <t>Inscripción y Registro del proyecto de inversión en el Banco de Programas y Proyectos de la Red Integrada de Servicios de Salud.
Aplicación formatos de Viabilidad técnica</t>
  </si>
  <si>
    <t xml:space="preserve">SDS-PGS-PR-037 INSCRIPCIÓN, REGISTRO Y ACTUALIZACIÓN DE PROYECTOS DE INVERSIÓN EN EL BPPI-RISS
LISTA DE CHEQUEO SDS-PGS-FT-074
Modelo 116
VIABILIDAD TÉCNICA PARA EJECUTAR LOS PROYECTOS DE INVERSIÓN DE LAS SUBREDE SDS-PGS-PR-040 </t>
  </si>
  <si>
    <t>Humanos y tecnológicos</t>
  </si>
  <si>
    <t>Cumplimiento de los procedimiento</t>
  </si>
  <si>
    <t xml:space="preserve">Referentes de proyectos de las direcciones pertinentes según el tipo de proyecto:
- Análisis de Entidades Públicas Distritales del Sector Salud
- Infraestructura y Tecnología
</t>
  </si>
  <si>
    <t xml:space="preserve">Verificar el procedimiento </t>
  </si>
  <si>
    <t>Cada referente de proyectos verifica que la documentación este conforme a los procedimientos y los requisitos generales para la formulación y presentación de proyectos de inversión del sector salud.</t>
  </si>
  <si>
    <t xml:space="preserve">Generar la alerta con el área encargada de generar procesos disciplinarios y/o
jurídicos de las entidades garantes del proyecto </t>
  </si>
  <si>
    <t>Revisión del concepto de viabilidad y solicitud de actualización del proyecto Y revisar la posibilidad de suspensión de los Contratos derivados y/o del Convenio</t>
  </si>
  <si>
    <t>Recibir, verificar y/o expedir autorizaciones sin cumplir el procedimiento beneficiando un tercero</t>
  </si>
  <si>
    <t xml:space="preserve">Dadivas o favores </t>
  </si>
  <si>
    <t xml:space="preserve">No aplica </t>
  </si>
  <si>
    <t>Posibilidad de afectación reputacional por recibir, verificar, y/o expedir autorizaciones para valoración sin cumplir el procedimiento beneficiando un tercero.</t>
  </si>
  <si>
    <t>Realizar pago no autorizados a las IPS por valoración</t>
  </si>
  <si>
    <t>Posibilidad de afectación económica y reputacional por la expedición de certificación de pago de valoraciones de discapacidad a una IPS  sin que esta haya prestado el servicio.</t>
  </si>
  <si>
    <t xml:space="preserve">Seguimiento  al cumplimiento de requisitos para  la generación de autorizaciones de  la valoración por equipo multidisciplinario </t>
  </si>
  <si>
    <t>Profesionales especializados</t>
  </si>
  <si>
    <t>Diario</t>
  </si>
  <si>
    <t xml:space="preserve">Verificar  que todas las autorizaciones estan soportadas por los documentos definidos  por la normatividad </t>
  </si>
  <si>
    <t xml:space="preserve">Realizar verificaciones aleatorias de las solicitudes y de los documentos con base en los cuales se generan las autorizaciones de valoración multidisciplinaria  </t>
  </si>
  <si>
    <t xml:space="preserve">Identificar Talento Humao que genera autorizaciones según hallazgos , retroalimentar y hacer   reinducción  tomar medidas necesarias para liminar la causa
</t>
  </si>
  <si>
    <t xml:space="preserve">Informe de revisiones aleatorias  y retroalimentaciones al talento humano </t>
  </si>
  <si>
    <t xml:space="preserve">SDS-PSS-PR-019 -Autorización para la Valoración por Equipo Multidisciplinario para la Certificación de Discapacidad
Informes de revisiones aleatorias
</t>
  </si>
  <si>
    <t>Humanos, tecnológicos</t>
  </si>
  <si>
    <t>Establecer proceso de verificación y validación del cruce de información relacionada con la facturación que hacen las IPS certificadoras de discapacidad</t>
  </si>
  <si>
    <t>Tecnicos y Profesionales especializados</t>
  </si>
  <si>
    <t>Bimestral</t>
  </si>
  <si>
    <t>Garantizar que los pagos autorizados,  a las IPS correspondan  a las valoraciones realizadas por  sus equipos multidisciplinario</t>
  </si>
  <si>
    <t>Establecer controles de  verificación al interior del proceso de autorización de pago de las facturas</t>
  </si>
  <si>
    <t xml:space="preserve">Seguimiento a  casos para determinar causas de los hallazgos
</t>
  </si>
  <si>
    <t>Informes de seguimiento</t>
  </si>
  <si>
    <t>Fortalecer el talento humano  del equipo de certificació de discapacidad 
Hacer verificación y seguimiento de los soportes documentales relacionados con las órdenes de valoración multidisciplinaria 
Fortaalecer la información al usuario e IPS para realizar el tramite de solicitud de valoración y RLCPD, a través de canal virtual y fisico.</t>
  </si>
  <si>
    <t>Identificar  la causa de materialización del riesgo.
Generar Plan de acción 
Seguimiento al plan de acción con puntos de control 
Retroalimentar para el aprendizaje organizacional</t>
  </si>
  <si>
    <t xml:space="preserve">
Concientizar al recurso humano en el código de integridad y lo definido en el PAAC 
Hacer verificación y seguimiento de los soportes documentales relaicoandos con facturacion y pagos
Crear e implementar instrumento de control de agenda disponibles
</t>
  </si>
  <si>
    <t>4. Fortalecer la gestión y la transparencia Institucional</t>
  </si>
  <si>
    <t xml:space="preserve"> Provisión de empleos o movimiento de personal que no se ajuste a los perfiles del cargo  por favorecimiento propio o de un tercero</t>
  </si>
  <si>
    <t>Ausencia de verificación de títulos de estudio de personas a vincular.
omisión en la revisión de  los requisitos para el cumplimiento de los requisitos del cargos establecidos en el manual de funciones</t>
  </si>
  <si>
    <t>Posibilidad de afectación económica y reputacional por la provisión de empleos o movimiento de personal que no se ajuste a los perfiles del cargo por favorecimiento propio o de un tercero, debido a la ausencia de verificación de títulos de estudio de las personas a vincular y omisión en la revisión de  los requisitos para el cumplimiento de los requisitos del cargos establecidos en el manual de funciones.</t>
  </si>
  <si>
    <t>Gestionar inadecuadamente los trámites de nómina en uso del poder para beneficio propio o de terceros</t>
  </si>
  <si>
    <t>Liquidar de manera inadecuada la nómina</t>
  </si>
  <si>
    <t>Posibilidad de afectación económica y reputacional por gestionar inadecuadamente los trámites de nómina en uso del poder para beneficio propio o de terceros, debido a la liquidación de manera inadecuada de la nómina</t>
  </si>
  <si>
    <t>Gestionar inadecuadamente el pago de cesantías para beneficio propio o de tercero</t>
  </si>
  <si>
    <t xml:space="preserve">Autorización del trámite de cesantías sin el cumplimiento de los requisitos.
</t>
  </si>
  <si>
    <t xml:space="preserve">Posibilidad de afectación económica y reputacional por gestionar inadecuadamente el pago de cesantías para beneficio propio o de tercero, debido a la autorización del trámite sin el cumplimiento de los requisitos.
</t>
  </si>
  <si>
    <t>Tramitar el pago de las horas extras para beneficio propio o de un tercero</t>
  </si>
  <si>
    <t xml:space="preserve">Reconocimiento de horas extras sin haberlas laborado.
</t>
  </si>
  <si>
    <t xml:space="preserve">Posibilidad de afectación económica por tramitar el pago de las horas extras para beneficio propio o de un tercer, debido al reconocimiento de horas extras sin haberlas laborado.
</t>
  </si>
  <si>
    <t>Tramitar indebidamente la  prima técnica para beneficio propio o de terceros</t>
  </si>
  <si>
    <t>Realización del cálculo inadecuado para la liquidación de la prima técnica</t>
  </si>
  <si>
    <t>Posibilidad de afectación económica por tramitar indebidamente la  prima técnica para beneficio propio o de terceros, debido a la realización del cálculo inadecuado para la liquidación de la prima técnica</t>
  </si>
  <si>
    <t xml:space="preserve">Vincular en empleos o encargos a personas o funcionarios aportando  documentos falsos para para favorecimiento propio o de un tercero. 
</t>
  </si>
  <si>
    <t xml:space="preserve">Falta de verificación en los documentos aportados </t>
  </si>
  <si>
    <t xml:space="preserve">Posibilidad de afectación económica y reputacional al vincular en empleos o encargos a personas o funcionarios aportando documentos falsos para favorecimiento propio o de un tercero, debido a la falta de verificación en los documentos aportados </t>
  </si>
  <si>
    <t>Verificación de Títulos</t>
  </si>
  <si>
    <t>El Profesional Universitario/ Profesional especializado</t>
  </si>
  <si>
    <t>Cada vez que se vincule o encargue un funcionario a la planta de personal</t>
  </si>
  <si>
    <t xml:space="preserve">solicitará al aspirante el diligenciamiento del formato "SDS-THO-FT-054  Autorización para Verificación de Títulos", </t>
  </si>
  <si>
    <t>con el fin de remtirlo a la respectiva institución educativa  para que certifique la veracidad del título entregado.</t>
  </si>
  <si>
    <t xml:space="preserve">En caso de que la institución educativa certifique que el aspírate no realizó estudios allí, se hará el respectivo reporte a la oficina de Asuntos Disciplinarios y a la Fiscalía. </t>
  </si>
  <si>
    <t>La evidencia de la acción se encontrará en la historia laboral del servidor la cual se constatará de la copia de la solicitud y la certificación entregada por la institución.</t>
  </si>
  <si>
    <t xml:space="preserve">"SDS-THO-FT-054  Autorización para Verificación de Títulos", </t>
  </si>
  <si>
    <t>Verificación cumplimiento de experiencia y estudio</t>
  </si>
  <si>
    <t xml:space="preserve">El Profesional Universitario/ Profesional especializado </t>
  </si>
  <si>
    <t xml:space="preserve">Cada vez que ingrese un nuevo funcionario </t>
  </si>
  <si>
    <t xml:space="preserve">Realizará el análisis de cumplimiento de experiencia y estudio, usando el formato SDS-THO-FT-037 Cumplimiento de Requisitos para Tomar Posesión. </t>
  </si>
  <si>
    <t xml:space="preserve">La cual será revisada y aprobada por el Director y/o persona asignada. </t>
  </si>
  <si>
    <t xml:space="preserve">En caso de identificar que la persona no cumpla con los requisitos del cargo se dará por finalizado el proceso. </t>
  </si>
  <si>
    <t>Como evidencia de la acción se contará con el formato debidamente diligenciado y aprobado en la historia laboral del funcionario.</t>
  </si>
  <si>
    <t>SDS-THO-FT-037 Cumplimiento de Requisitos para Tomar Posesión</t>
  </si>
  <si>
    <t>Verificación de nómina</t>
  </si>
  <si>
    <t xml:space="preserve">El Profesional Especializado encargado de nómina </t>
  </si>
  <si>
    <t>realizará la validación de la información de nómina,</t>
  </si>
  <si>
    <t>Utilizado de la pre-nómina.</t>
  </si>
  <si>
    <t xml:space="preserve">En caso de  encontrar inconsistencias en la liquidación, se procede a realizar los ajustes correspondientes </t>
  </si>
  <si>
    <t>Dejando como evidencia  correos mensuales  enviados a la Dirección de TIC¨S sobre los errores que se presenta al  liquidar la nómina. Y además llevan un formato Control pendientes de  Novedades Nomina,</t>
  </si>
  <si>
    <t>correos enviados a la Dirección de las TICS, el formato del cotnrol de novedades de Nómina</t>
  </si>
  <si>
    <t>Humanos, tecnológicos y financieros</t>
  </si>
  <si>
    <t>Verificación reconocimiento de Cesantías</t>
  </si>
  <si>
    <t xml:space="preserve">El profesional Especializado encargado de nómina, </t>
  </si>
  <si>
    <t>Cada vez que se allegue una solicitud de reconocimiento de cesantías</t>
  </si>
  <si>
    <t>realizará la verificación de los documentos soportes contra lo establecido en el formato SDS-THO-FT-009 Solicitud Interna de Retiro de Cesantías</t>
  </si>
  <si>
    <t>El cual requerirá la aprobación del Jefe inmediato y/o persona asignada para continuar con el proceso.</t>
  </si>
  <si>
    <t xml:space="preserve">En caso de  encontrar inconsistencias en los documentos, se devolverá al funcionario solicitante, por medio de correo electrónico y no se tramitará hasta que el documento cumpla con los requisitos mínimos, </t>
  </si>
  <si>
    <t>Dejando como evidencia de la ejecución del control el formato diligenciado y/o los correos electrónicos remitidos.</t>
  </si>
  <si>
    <t>Formato SDS-THO-FT-009 Solicitud Interna de Retiro de Cesantías</t>
  </si>
  <si>
    <t>Verificación reporte de horas extras</t>
  </si>
  <si>
    <t xml:space="preserve">El Técnico operativo de nómina encargado de la consolidación de la información. </t>
  </si>
  <si>
    <t>cada vez que se allegue un reporte de horas extras en el formato SDS-THO-FT-004 Reporte de Horas Extras.</t>
  </si>
  <si>
    <t xml:space="preserve">Realizará la revisión aritmetica del total de horas extras </t>
  </si>
  <si>
    <t>Aprobadas por el líder del proceso</t>
  </si>
  <si>
    <t>En caso de inconsistencias se devolverá el formato al área que reportó  la novedad de horas extras</t>
  </si>
  <si>
    <t>Como evidencia se tendrá el formato firmado por el funcionario que realizó la verificación por parte de Talento Humano.</t>
  </si>
  <si>
    <t>Formato SDS-THO-FT-004 Reporte de Horas Extras.</t>
  </si>
  <si>
    <t>Verificación cumplimiento de requisitos Prima Técnica</t>
  </si>
  <si>
    <t>El Director y/o profesional Especializado</t>
  </si>
  <si>
    <t xml:space="preserve">cada vez que se tramite una solicitud de reconocimiento o reajuste de prima técnica, </t>
  </si>
  <si>
    <t xml:space="preserve">verificará el formato para el análisis de prima técnica </t>
  </si>
  <si>
    <t xml:space="preserve">contra los soportes que reposan en la historia laboral y la documentación adjunta a la solicitud. </t>
  </si>
  <si>
    <t>En caso de inconsistencias, se devolverá la documentación al profesional especializado, para que se realicen los ajustes correspondientes.</t>
  </si>
  <si>
    <t>Como evidencia del control, se tiene el formato para el análisis de prima técnica y la resolución firmada por el Director y/o persona asignada los cuales reposan en la historia laboral de los funcionarios.</t>
  </si>
  <si>
    <t xml:space="preserve">SDS-THO-INS-022
LIQUIDACIÓN PRIMA TÉCNICA
</t>
  </si>
  <si>
    <t>Verificación falsedad en documento privado</t>
  </si>
  <si>
    <t>Cada vez que se  realice ingreso o movimiento de personal.</t>
  </si>
  <si>
    <t xml:space="preserve">Verificará la idoneidad de los documentos que soportan el nivel educativo y la experiencia laboral, </t>
  </si>
  <si>
    <t xml:space="preserve">Solicitando de manera escrita la información correspondiente a la institución educativa. </t>
  </si>
  <si>
    <t xml:space="preserve">En caso de inconsistencias informar al Director de Gestión del Talento Humano mediante correo electrónico soportado con evidencias sobre la anomalía presentada y él solicitará la apertura de la investigación disciplinaria respectiva. </t>
  </si>
  <si>
    <t>Se deja como evidencia las comunicaciones y los reportes escritos suministrados por las entidades consultadas</t>
  </si>
  <si>
    <t>Comunicaciones y los reportes escritos suministrados por las entidades consultadas</t>
  </si>
  <si>
    <t>Se desarrollará cada seis meses una sensibilizaicón del código de Integridad de la Secretaría Distrital de Salud</t>
  </si>
  <si>
    <t>Se informará al líder del proceso para la toma de decisiones.</t>
  </si>
  <si>
    <t>Se validará la información e informará  al líder del proceso para la toma de decisiones.</t>
  </si>
  <si>
    <t>Se validará la información reportada e informará  al líder del proceso para la toma de decisiones.</t>
  </si>
  <si>
    <t>Se validará la información reportada, se corregirá en el formato e informará  al líder del proceso para la toma de decisiones.</t>
  </si>
  <si>
    <t>Elaborar procesos precontractuales que contenga información, sesgada, falsa, imprecisa o sin soporte Técnico y/o Jurídico</t>
  </si>
  <si>
    <t xml:space="preserve">favorecimiento propio o de un tercero </t>
  </si>
  <si>
    <t>Posibilidad de Afectación Economica y Reputacional al elaborar procesos precontractuales de la dirección TIC que contengan información sesgada, falsa, imprecisa o sin soporte tecnico y/o Jurídico para favorecimiento propio o de un tercero</t>
  </si>
  <si>
    <t>Perdida de confidenicalidad, disponibilidad e integridad de la información de la entidad   debido a la manipulación o adulteración no autorizada de personas internas o externas a la entidad</t>
  </si>
  <si>
    <t>Beneficios personales o de terceros</t>
  </si>
  <si>
    <t>Posibilidad de afectación Reputacional y Economica por la perdida de confidenicalidad, disponibilidad e integridad de la información de la entidad   debido a la manipulación o adulteración no autorizada de personas internas o externas a la entidad para beneficios personales o de terceros</t>
  </si>
  <si>
    <t>Responsables del proceso precontractual</t>
  </si>
  <si>
    <t>El Director TIC</t>
  </si>
  <si>
    <t>Cada vez que se realice un proceso precontractual</t>
  </si>
  <si>
    <t>Verificara que se  
Designe para la realización del  porceso  a un funcionario de planta un profesional técnico, un profesional jurídico y un profesional financiero</t>
  </si>
  <si>
    <t>El funcionario debe contar con funciones de supervisión contractual, los demas profesionales deben contar con experiencia o formación relacionada</t>
  </si>
  <si>
    <t>En caso de que el proceso se realice sin la delegación del funcionario el proceso no sera aprobado por el Director</t>
  </si>
  <si>
    <t xml:space="preserve">Designación del funcionario por escrito y firma de los documentos de la etapa precontractual por parte del funcionario delegado y el equipo de profesionales </t>
  </si>
  <si>
    <t>Documentos precontractuales Firmado, Documento de constancia de designación.</t>
  </si>
  <si>
    <t>Humanos</t>
  </si>
  <si>
    <t xml:space="preserve">Definición de las necesidades del proceso precontractual </t>
  </si>
  <si>
    <t>El funcionario y los profesionales designados</t>
  </si>
  <si>
    <t>Definirá con los interesados las obligaciones, los productos, el anexo tecnico de los mismos y la justificación de la necesidad del servicio así como los anexos de contenido financiero del estudio previo.</t>
  </si>
  <si>
    <t>La definición se realizará por medio de la elaboración y ajustes de las observaciones  hechas al anexo tecnico y esudio previo, analisis del sector y estudio del mercado en los diferentes flujos de revisión</t>
  </si>
  <si>
    <t>En caso de que el proceso se realice sin la definición y aprobación por parte de los interesados, el proceso no sera aprobado por el Director</t>
  </si>
  <si>
    <t>Como evidenica se contara con el anexo tecnico, el estudio previo, analisis del sector y estudio del mercado  ademas de los documentos de trabajo utilizados como soporte.</t>
  </si>
  <si>
    <t>Anexo tecnico, el estudio previo,analisis del sector y estudio del mercado y  documentos de trabajo</t>
  </si>
  <si>
    <t>Actualización de Directorio Activo</t>
  </si>
  <si>
    <t>El Administrador del Directorio Activo</t>
  </si>
  <si>
    <t>Mantener actualizado el Directorio Activo</t>
  </si>
  <si>
    <t>Solictando mensualmente a Talento Humano el informe de modificaciones en la planta personal activo de la SDS y deacuerdo a los casos registrados en el software de gestión de la mesa de servicios.</t>
  </si>
  <si>
    <t>En caso de identificar que el directorio activo se encuentra desactualizado se bloqueran preventivamente a los usuarios que no concuerden con el reporte generado y se reportara el caso al jefe inmediato o al suprevisor del contrato por medio de correo electronico.</t>
  </si>
  <si>
    <t>*Correos remitidos a supervisores y jefes inmediatos (Cada vez que se presente).
*Memorando mensual de solicitud informe de Talento Humano.
*Informe mensual de los casos solucionados por la mesa de ayuda.</t>
  </si>
  <si>
    <t>Correos Electornicos
Memorando
Informe de Casos</t>
  </si>
  <si>
    <t>Monitoreo de Servicios TIC</t>
  </si>
  <si>
    <t>El Especialista del Centro de Computo</t>
  </si>
  <si>
    <t>Mantener los servicios de TIC disponibles para su uso</t>
  </si>
  <si>
    <t>Monitoreando los servicios a traves del software de gestión</t>
  </si>
  <si>
    <t>En caso de identificar un servicio que no se encuentre en funcionamiento se realizará la gestión pertinente para dejarlo operativo</t>
  </si>
  <si>
    <t>Logs de Eventos
Reporte Mensual</t>
  </si>
  <si>
    <t>Integridad de la Información Digital.</t>
  </si>
  <si>
    <t>Mantener la integridad de la información digital alojada en la infraestructura del centro de computo y en custodia de la Dirección TIC</t>
  </si>
  <si>
    <t xml:space="preserve">Restringiendo los accesos a la Información Digital para el  personal no autorizado
</t>
  </si>
  <si>
    <t xml:space="preserve">En caso de identificar el acceso a la información digital de una persona no autorizada se bloquera el acceso de manera peventiva y comunicará al responsable de la información con el fin de verificar los permisos otorgados.
</t>
  </si>
  <si>
    <t>Solicitudes de autorización registrados en el software de la mesa de servicio.
Log de Eventos</t>
  </si>
  <si>
    <t>Log de Eventos
solicitudes de actualización</t>
  </si>
  <si>
    <t xml:space="preserve">Realizar reuniones mensuales con los funcionarios y contratistas asignados al desarrollo de porcesos precontracurales  para el seguimiento y revisión del cumplimiento del desarrollo de la etapa precontractual así como validar el cumplimiento de los controles establecidos </t>
  </si>
  <si>
    <t>En caso de que se identifique la materialización del riesgo identificado, se dentendra el proceso y se notificaran las anomalias encontradas a la Oficina de Asuntos Disciplinarios de la SDS, con el fin de que realicen las investigaciones pertinentes y se tomen las medidas pertinetes.</t>
  </si>
  <si>
    <t>Realizar monitoreo a los controles definidos con el fin de identificar alguna anomalia en la administración de la información</t>
  </si>
  <si>
    <t>Favorecimiento a terceros (ambulancias del sector privado o no vinculadas al Programa de Atención Prehospitalaria), por parte del Personal del Centro Operativo, a cambio de prebendas por la gestión de incidentes</t>
  </si>
  <si>
    <t>Debilidades en el seguimiento a la ejecucion de los controles.</t>
  </si>
  <si>
    <t>N.A.</t>
  </si>
  <si>
    <t>Posibilidad de afectacion economica y reputacional por el favorecimiento a terceros (ambulancias del sector privado o no vinculadas al Programa de Atención Prehospitalaria), por parte del Personal del Centro Operativo, a cambio de prebendas por la gestión de incidentes y debilidades en el seguimiento a la ejecucion de los controles.</t>
  </si>
  <si>
    <t>Control de uso de dispositivos electronicos  en el Centro Operativo</t>
  </si>
  <si>
    <t xml:space="preserve">El profesional (Enfermero o Medico) responsable de turno en el centro Operativo. </t>
  </si>
  <si>
    <t>Controlar el uso de dispositivos móviles</t>
  </si>
  <si>
    <t xml:space="preserve">Mediante inspecciones visuales. 
NOTA: Una vez se concluyan las obras de remodelacion se evaluaran  las condiciones de permanenecia del riesgo.   </t>
  </si>
  <si>
    <t>Elabora novedad comportamental</t>
  </si>
  <si>
    <t>Informe dirigida a Subdirector/a
Registro de acciones realizadas</t>
  </si>
  <si>
    <t>Resolucion 2860 de 2018 SDS.
SDS-UED-PR-005
SDS-UED-LN-008
SDS-UED-LN-006</t>
  </si>
  <si>
    <t>Profesional responsable de turno
Cámaras de vigilancia
Dotación mobiliaria</t>
  </si>
  <si>
    <t xml:space="preserve">Desvío o manipulación de información por la falta de centralización de todas las acciones de comunicación en el proceso u oficina que lidera el tema en la entidad o por el no cumplimiento de los lineamientos o procedimientos establecidos en este sentido. </t>
  </si>
  <si>
    <t>Modificar de forma intencional información recibida y enviada por las fuentes y usada para la realización de productos o   acciones de comunicación.</t>
  </si>
  <si>
    <t>Posibilidad de afectación reputacional por favorecer o beneficiar intereses particulares, políticos y/o de terceras personas, a través de acciones de comunicación como la divulgación de información a los medios de comunicación u otros públicos, el uso de la imagen de la Entidad o la entrega de material promocional producido por la Oficina Asesora de Comunicaciones, sin cumplir con los procedimientos o lineamientos establecidos por esta Oficina</t>
  </si>
  <si>
    <t xml:space="preserve">Verificar que la información o producto de comunicación a divulgar a través de los canales institucionales de comunicación, según el caso, sea remitida por los jefes, referentes técnicos o la Alcaldía Mayor, y que esta esté avalada por los mismos o por el jefe de la OAC. </t>
  </si>
  <si>
    <t>Profesionales de la Oficina Asesora de Comunicaciones (OAC) y jefe de la misma.</t>
  </si>
  <si>
    <t xml:space="preserve">Cada vez que se reciba de las dependencias  una solicitud o requerimiento para divulgar  información o producto de comunicación </t>
  </si>
  <si>
    <t>Divulgar información oficial o productos de comunicación ante los medios masivos de comunicación y/o a través de los canales externos de comunicación</t>
  </si>
  <si>
    <t>Verificar que la información haya sido enviada por una fuente oficial de la Entidad y que ésta cuente con el aval del jefe, director o referente delegado de la dependencia. 
Cumpliendo con lo establecido en la Política para el manejo de las comunicaciones en la SDS y en los lineamientos que le aplican al proceso, en particular los relacionados con la comunicación externa</t>
  </si>
  <si>
    <t>En caso de que no provenga de fuentes oficiales o esté incompleta, el profesional solicitará ampliación de la misma a través de correo electrónico o solicitará visto bueno del jefe de la OAC  para realizar las respectivas acciones de comunicación como la divulgación</t>
  </si>
  <si>
    <t>*Requerimientos para la realización de acciones de comunicación que impliquen divulgación de información 
*Publicaciones en los medios de comunicación y canales de comunicación externa institucionales
*Correos electrónicos</t>
  </si>
  <si>
    <t xml:space="preserve">Procedimiento Gestión de Comunicaciones
Lineamiento de comunicación externa
Lineamiento de comunicación digital
Política para el manejo de las comunicaciones en la SDS </t>
  </si>
  <si>
    <t>Profesionales de la Oficina de Comunicaciones
Correo electrónico
Página Web institucional (www.saludcapital.gov.co)
Internet - redes sociales institucionales</t>
  </si>
  <si>
    <t xml:space="preserve">Registrar la entrega del material promocional (POP) producido por la Oficina Asesora de Comunicaciones (OAC), mediante el diligenciamiento del formato dispuesto para tal fin (SDS-COM-FT-005 "Registro de material entregado en comunicaciones"). </t>
  </si>
  <si>
    <t xml:space="preserve">Profesionales de la Oficina Asesora de Comunicaciones </t>
  </si>
  <si>
    <t xml:space="preserve">Cada vez que se deba entregar en la OAC material producido por esta misma oficina, a colaboradores de la Entidad o dependencias, en respuesta a  requerimientos de las mismas o por iniciativa propia, y conforme a los recursos destinados para este fin. </t>
  </si>
  <si>
    <t>Registrar la entrega de material promocional  producido por la Oficina Asesora de Comunicaciones</t>
  </si>
  <si>
    <t>Diligenciamiento del formato SDS-COM-FT-005 "Registro de material entregado en comunicaciones"</t>
  </si>
  <si>
    <t xml:space="preserve">En caso de no se diligencie el formato se debe dejar registro de entrega a través de un correo formal, donde quede claro fecha de entrega y persona y dependencia que lo recibe. </t>
  </si>
  <si>
    <t>Formato SDS-COM-FT-005 "Registro de material entregado en comunicaciones"
*Correos electrónicos</t>
  </si>
  <si>
    <t xml:space="preserve">Procedimiento Gestión de Comunicaciones
Lineamiento de comunicación externa
Lineamiento de comunicación interna
Política para el manejo de las comunicaciones en la SDS </t>
  </si>
  <si>
    <t>Profesionales de la Oficina de Comunicaciones
Formato</t>
  </si>
  <si>
    <t xml:space="preserve">Socializar a los integrantes de la Oficina Asesora de Comunicaciones los documentos que soportan su accionar como la Política de Comunicaciones de la Entidad, los lineamientos del proceso y otros que se consideren necesarios por su impacto en la Entidad como el código de integridad. </t>
  </si>
  <si>
    <t>segundo trimestre de 2024</t>
  </si>
  <si>
    <t xml:space="preserve">*Informar al líder del proceso
*Eliminar la publicación o divulgación de la información o producto de comunicación
*Revisar la razón o causas por las que se materializó
*Corregir la publicación o producto de comunicación divulgado 
*En el caso de material promocional, revisar la dependencia dueña del mismo y a quién se le entregó según el registro, y entregar la información a las instancias pertinentes. </t>
  </si>
  <si>
    <t>1. Requisitos no viables para autorizar una apertura de cuenta.
2. Omitir algunas actividades establecidas  en el procedimiento  SDS FIN PR 007.</t>
  </si>
  <si>
    <t>2. Omitir algunas actividades establecidas  en el procedimiento  SDS FIN PR 007.</t>
  </si>
  <si>
    <t>No aplica</t>
  </si>
  <si>
    <t xml:space="preserve">Posibilidad de afectación económica y reputacional por apertura de cuentas bancarias de la entidad sin el cumplimiento de los requisitos legales para el favorecimiento a terceros debido a  Incumplimiento a las normas Nacionales y Distritales sobre el manejo de los recursos destinados a la Salud . </t>
  </si>
  <si>
    <t>1. Trámitar los pagos sin la revisión y cumplimiento de requisitos legales, administrativos e institucionales.</t>
  </si>
  <si>
    <t>Posibilidad de afectación económica y reputacional por trámite de órdenes de pago sin tener en cuenta los criterios establecidos, en beneficio propio o de terceros debido a trámitar los pagos sin la revisión y cumplimiento de requisitos legales, administrativos e institucionales.</t>
  </si>
  <si>
    <t xml:space="preserve">Interes economicos
Vinculos familiares o amistad
</t>
  </si>
  <si>
    <t xml:space="preserve">
Recibir documentación falsa para delantar el proceso de cobro coactivo y/o omitir actuaciones procesales para favorecer a un tercero, debido a intereses economicos particulares.</t>
  </si>
  <si>
    <t>Inspección y vigilancia y Salud Pública</t>
  </si>
  <si>
    <t>Posibilidad de afectación económica y reputacional para recibir documentación falsa para delantar el proceso de cobro coactivo y/o omitir actuaciones procesales para favorecer a un tercero, debido a intereses economicos particulares.</t>
  </si>
  <si>
    <t>Interes economicos
Vinculos familiares o amistad</t>
  </si>
  <si>
    <t>Adulteración de soportes de pago de una obligación para favorecimiento de un tercero.</t>
  </si>
  <si>
    <t>Posibilidad de afectación económica y reputacional por adulteración de soportes de pago de una obligación para favorecimiento de un tercero, debido a intereses economicos particulares.</t>
  </si>
  <si>
    <t>Seguimiento a apertura de cuentas bancarias</t>
  </si>
  <si>
    <t>El Comité de seguimiento y control financiero</t>
  </si>
  <si>
    <t xml:space="preserve">Siempre que se requiera </t>
  </si>
  <si>
    <t>Aperturar una cuenta</t>
  </si>
  <si>
    <t>aprueba la apertura de acuerdo a los requisitos internos y externos descritos en la normatividad y el procedimiento vigente</t>
  </si>
  <si>
    <t>En caso de que se el comité no apruebe una apertura de cuenta, s e debera justificar las razones y presentar nuevamente la propuesta.</t>
  </si>
  <si>
    <t xml:space="preserve">Actas del comité </t>
  </si>
  <si>
    <t>Director Financiero y  Profesional especializado de tesorería.</t>
  </si>
  <si>
    <t xml:space="preserve">Apicación correcta del procedimiento SDS FIN PR 007 </t>
  </si>
  <si>
    <t>Director Financiero
Profesionales Especializados</t>
  </si>
  <si>
    <t xml:space="preserve">Revisará que las actividades del PR SDS FIN PR 007, se cuemplan </t>
  </si>
  <si>
    <t xml:space="preserve">En caso de que se omita el procedimiento  SDS FIN PR 007, no se aprobará la apertura de la cuenta bancaria. </t>
  </si>
  <si>
    <t>Procedimiento  SDS- FIN- PR- 007</t>
  </si>
  <si>
    <t>Revisión de requisitos para trámites de pagos.</t>
  </si>
  <si>
    <t>Los profesionales de la Dirección Financiera,</t>
  </si>
  <si>
    <t>Diariamiente</t>
  </si>
  <si>
    <t>Deben revisar los requisitos para  el trámite de pago a terceros</t>
  </si>
  <si>
    <t>Aplicando el Procedimiento vigente (SDS FIN PR 008).</t>
  </si>
  <si>
    <t xml:space="preserve">  En caso de que se genere un pago a terceros que no cumplen con los requisitos, se debe informar del hecho al Responsable de Contabilidad y posteriormente al Director (a) financiero.</t>
  </si>
  <si>
    <t>Gestión documental -causaciones</t>
  </si>
  <si>
    <t>Expedientes de tramite de ordenes de pago</t>
  </si>
  <si>
    <t>4 Profesionales de Contabilidad</t>
  </si>
  <si>
    <t>Revision y verificación por parte del profesional a cargo del expediente</t>
  </si>
  <si>
    <t xml:space="preserve">Los profesionales (abogados) del proceso de cobro coactivo </t>
  </si>
  <si>
    <t xml:space="preserve">Siempre </t>
  </si>
  <si>
    <t xml:space="preserve">revisaran los documentos allegados por parte de los sancionados, </t>
  </si>
  <si>
    <t>aplicando el manual de administración y recaudo de cartera V4</t>
  </si>
  <si>
    <t>En caso de encontrar inconsistencias en la veracidad de los documentación, se informará al Director Financiero para tomar las medidas correspondientes.</t>
  </si>
  <si>
    <t>Documentos allegados por el sancionado</t>
  </si>
  <si>
    <t>7 Abogados de Cobro coactivo</t>
  </si>
  <si>
    <t>Verificación de CIB con tesoreria</t>
  </si>
  <si>
    <t>Cada vez que evidencien una inconsistencia o adulteración de los Comprobantes de ingreso bancario</t>
  </si>
  <si>
    <t>revisaran con el área de Tesorería los datos correspondientes Comprobantes de ingreso bancarios</t>
  </si>
  <si>
    <t>verificando que coincidan los datos del comprobante allegado por el deudor y el registro que tiene el área de tesorería</t>
  </si>
  <si>
    <t>En caso de encontrar incosnistencias en la veracidad de los documentación, se informará al Director Financiero para tomar las medidas correspondientes.</t>
  </si>
  <si>
    <t>CIB allegado por el sancionado</t>
  </si>
  <si>
    <t>Revisión periodica del procedimientos y demás normatividad, relacionada con ela apertura de cuentas.</t>
  </si>
  <si>
    <t xml:space="preserve">En caso de que se aperture una cuenta incumpliendo los requisitos, se debe informar a la instancia correspondiente pars realizar la indagación </t>
  </si>
  <si>
    <t>Seguimiento periódico a rechazos presentados</t>
  </si>
  <si>
    <t>En caso de que se genere un pago a terceros que no cumplen con los requisitos, se debe informar del hecho al  Director (a) financiero y notificar la instancia correspondiente para iniciar indagación</t>
  </si>
  <si>
    <t>S realizan mesas de trabajo con todo el equipo de cobto coactivo, acompañados de las áreas de  tesorería y contabilidad para revisar novedades presentadas</t>
  </si>
  <si>
    <t>Informar al Director financiero la situación presentada para determinar las acciones correspondientes.</t>
  </si>
  <si>
    <t>Enero 2022</t>
  </si>
  <si>
    <t>Actualización del mapa de riesgos de los procesos de la SDS, según la guía de administración de riesgos y controles del DAFP.</t>
  </si>
  <si>
    <t>Septiembre 2022</t>
  </si>
  <si>
    <t>Actualización del mapa de riesgos de los procesos de la SDS a la versión 4 del formato.</t>
  </si>
  <si>
    <t>Enero 2023</t>
  </si>
  <si>
    <t>Enero 2024</t>
  </si>
  <si>
    <t>Se actualiza y pública el mapa de riesgos de corrupción de la SDS.</t>
  </si>
  <si>
    <t>Establecer y dar lineamientos a las Empresas Administradoras de Planes de Beneficios y su Red de Prestadores de Servicios de Salud, Bancos de Sangre y Bancos de Tejidos, y Centros de Almacenamiento Temporal; mediante la definición de criterios técnicos y operativos de la prestación de servicios de salud para la mejora de los mismos, en el marco de las políticas y lineamientos del orden nacional y distrital.</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</si>
</sst>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75">
    <font>
      <sz val="11"/>
      <color theme="1"/>
      <name val="Calibri"/>
      <family val="2"/>
    </font>
    <font>
      <sz val="11"/>
      <color indexed="8"/>
      <name val="Calibri"/>
      <family val="2"/>
    </font>
    <font>
      <sz val="9"/>
      <color indexed="8"/>
      <name val="Arial"/>
      <family val="2"/>
    </font>
    <font>
      <b/>
      <sz val="12"/>
      <color indexed="8"/>
      <name val="Arial Narrow"/>
      <family val="2"/>
    </font>
    <font>
      <b/>
      <sz val="12"/>
      <color indexed="57"/>
      <name val="Arial Narrow"/>
      <family val="2"/>
    </font>
    <font>
      <b/>
      <sz val="12"/>
      <name val="Arial Narrow"/>
      <family val="2"/>
    </font>
    <font>
      <sz val="12"/>
      <color indexed="8"/>
      <name val="Arial Narrow"/>
      <family val="2"/>
    </font>
    <font>
      <b/>
      <sz val="11"/>
      <name val="Arial"/>
      <family val="2"/>
    </font>
    <font>
      <b/>
      <sz val="12"/>
      <name val="Arial"/>
      <family val="2"/>
    </font>
    <font>
      <b/>
      <sz val="8"/>
      <name val="Arial"/>
      <family val="2"/>
    </font>
    <font>
      <sz val="12"/>
      <name val="Arial"/>
      <family val="2"/>
    </font>
    <font>
      <b/>
      <sz val="10"/>
      <name val="Arial"/>
      <family val="2"/>
    </font>
    <font>
      <sz val="10"/>
      <name val="Arial"/>
      <family val="2"/>
    </font>
    <font>
      <b/>
      <sz val="9"/>
      <name val="Arial"/>
      <family val="2"/>
    </font>
    <font>
      <sz val="11"/>
      <name val="Arial"/>
      <family val="2"/>
    </font>
    <font>
      <sz val="9"/>
      <name val="Tahom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b/>
      <sz val="9"/>
      <color indexed="8"/>
      <name val="Arial"/>
      <family val="2"/>
    </font>
    <font>
      <b/>
      <sz val="11"/>
      <color indexed="9"/>
      <name val="Arial"/>
      <family val="2"/>
    </font>
    <font>
      <sz val="11"/>
      <color indexed="8"/>
      <name val="Arial"/>
      <family val="2"/>
    </font>
    <font>
      <b/>
      <sz val="12"/>
      <color indexed="9"/>
      <name val="Arial"/>
      <family val="2"/>
    </font>
    <font>
      <b/>
      <sz val="12"/>
      <color indexed="8"/>
      <name val="Arial"/>
      <family val="2"/>
    </font>
    <font>
      <sz val="8"/>
      <color indexed="8"/>
      <name val="Arial"/>
      <family val="2"/>
    </font>
    <font>
      <b/>
      <sz val="16"/>
      <color indexed="9"/>
      <name val="Arial"/>
      <family val="2"/>
    </font>
    <font>
      <b/>
      <sz val="18"/>
      <color indexed="9"/>
      <name val="Arial"/>
      <family val="2"/>
    </font>
    <font>
      <b/>
      <sz val="14"/>
      <color indexed="8"/>
      <name val="Arial Narrow"/>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sz val="11"/>
      <color rgb="FFFFFFFF"/>
      <name val="Calibri"/>
      <family val="2"/>
    </font>
    <font>
      <b/>
      <sz val="11"/>
      <color rgb="FF000000"/>
      <name val="Calibri"/>
      <family val="2"/>
    </font>
    <font>
      <sz val="9"/>
      <color theme="1"/>
      <name val="Arial"/>
      <family val="2"/>
    </font>
    <font>
      <b/>
      <sz val="12"/>
      <color rgb="FF000000"/>
      <name val="Arial Narrow"/>
      <family val="2"/>
    </font>
    <font>
      <sz val="12"/>
      <color rgb="FF000000"/>
      <name val="Arial Narrow"/>
      <family val="2"/>
    </font>
    <font>
      <b/>
      <sz val="9"/>
      <color theme="1"/>
      <name val="Arial"/>
      <family val="2"/>
    </font>
    <font>
      <b/>
      <sz val="11"/>
      <color theme="0"/>
      <name val="Arial"/>
      <family val="2"/>
    </font>
    <font>
      <sz val="11"/>
      <color theme="1"/>
      <name val="Arial"/>
      <family val="2"/>
    </font>
    <font>
      <b/>
      <sz val="12"/>
      <color theme="0"/>
      <name val="Arial"/>
      <family val="2"/>
    </font>
    <font>
      <b/>
      <sz val="12"/>
      <color theme="1"/>
      <name val="Arial"/>
      <family val="2"/>
    </font>
    <font>
      <sz val="8"/>
      <color theme="1"/>
      <name val="Arial"/>
      <family val="2"/>
    </font>
    <font>
      <b/>
      <sz val="18"/>
      <color theme="0"/>
      <name val="Arial"/>
      <family val="2"/>
    </font>
    <font>
      <b/>
      <sz val="16"/>
      <color theme="0"/>
      <name val="Arial"/>
      <family val="2"/>
    </font>
    <font>
      <b/>
      <sz val="14"/>
      <color rgb="FF000000"/>
      <name val="Arial Narrow"/>
      <family val="2"/>
    </font>
    <font>
      <sz val="12"/>
      <color theme="1"/>
      <name val="Arial Narrow"/>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BFBFBF"/>
        <bgColor indexed="64"/>
      </patternFill>
    </fill>
    <fill>
      <patternFill patternType="solid">
        <fgColor theme="0" tint="-0.1499900072813034"/>
        <bgColor indexed="64"/>
      </patternFill>
    </fill>
    <fill>
      <patternFill patternType="solid">
        <fgColor rgb="FFFFFFFF"/>
        <bgColor indexed="64"/>
      </patternFill>
    </fill>
    <fill>
      <patternFill patternType="solid">
        <fgColor theme="4" tint="-0.24997000396251678"/>
        <bgColor indexed="64"/>
      </patternFill>
    </fill>
    <fill>
      <patternFill patternType="solid">
        <fgColor theme="0" tint="-0.24997000396251678"/>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theme="4"/>
      </top>
      <bottom/>
    </border>
    <border>
      <left/>
      <right/>
      <top/>
      <bottom style="thick">
        <color theme="0"/>
      </bottom>
    </border>
    <border>
      <left/>
      <right/>
      <top style="thin">
        <color theme="0"/>
      </top>
      <bottom style="thin">
        <color theme="0"/>
      </bottom>
    </border>
    <border>
      <left style="thin"/>
      <right style="thin"/>
      <top style="thin"/>
      <bottom style="thin"/>
    </border>
    <border>
      <left style="dotted">
        <color rgb="FFF79646"/>
      </left>
      <right style="dotted">
        <color rgb="FFF79646"/>
      </right>
      <top/>
      <bottom style="dotted">
        <color rgb="FFF79646"/>
      </bottom>
    </border>
    <border>
      <left style="dotted">
        <color rgb="FFF79646"/>
      </left>
      <right style="dotted">
        <color rgb="FFF79646"/>
      </right>
      <top style="dotted">
        <color rgb="FFF79646"/>
      </top>
      <bottom style="dotted">
        <color rgb="FFF79646"/>
      </bottom>
    </border>
    <border>
      <left style="medium"/>
      <right/>
      <top/>
      <bottom/>
    </border>
    <border>
      <left/>
      <right style="medium"/>
      <top/>
      <bottom/>
    </border>
    <border>
      <left style="medium"/>
      <right style="dotted">
        <color rgb="FFF79646"/>
      </right>
      <top/>
      <bottom style="dotted">
        <color rgb="FFF79646"/>
      </bottom>
    </border>
    <border>
      <left style="medium"/>
      <right style="dotted">
        <color rgb="FFF79646"/>
      </right>
      <top style="dotted">
        <color rgb="FFF79646"/>
      </top>
      <bottom style="dotted">
        <color rgb="FFF79646"/>
      </bottom>
    </border>
    <border>
      <left style="medium"/>
      <right style="dotted">
        <color rgb="FFF79646"/>
      </right>
      <top style="dotted">
        <color rgb="FFF79646"/>
      </top>
      <bottom style="medium"/>
    </border>
    <border>
      <left style="dotted">
        <color rgb="FFF79646"/>
      </left>
      <right style="dotted">
        <color rgb="FFF79646"/>
      </right>
      <top style="dotted">
        <color rgb="FFF79646"/>
      </top>
      <bottom style="medium"/>
    </border>
    <border>
      <left style="thin"/>
      <right style="medium"/>
      <top style="thin"/>
      <bottom style="thin"/>
    </border>
    <border>
      <left style="thin"/>
      <right style="thin"/>
      <top style="thin"/>
      <bottom style="medium"/>
    </border>
    <border>
      <left/>
      <right style="medium"/>
      <top/>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medium"/>
      <bottom style="medium"/>
    </border>
    <border>
      <left style="thin"/>
      <right style="thin"/>
      <top/>
      <bottom style="thin"/>
    </border>
    <border>
      <left style="thin"/>
      <right style="medium"/>
      <top/>
      <bottom style="thin"/>
    </border>
    <border>
      <left/>
      <right style="thin">
        <color theme="4"/>
      </right>
      <top style="thin">
        <color theme="4"/>
      </top>
      <bottom/>
    </border>
    <border>
      <left style="thin"/>
      <right style="thin"/>
      <top style="medium"/>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bottom style="thin"/>
    </border>
    <border>
      <left style="thin"/>
      <right style="thin"/>
      <top style="thin"/>
      <bottom/>
    </border>
    <border>
      <left style="thin"/>
      <right style="medium"/>
      <top style="thin"/>
      <bottom/>
    </border>
    <border>
      <left/>
      <right style="thin"/>
      <top style="medium"/>
      <bottom style="thin"/>
    </border>
    <border>
      <left/>
      <right style="thin"/>
      <top style="thin"/>
      <bottom style="thin"/>
    </border>
    <border>
      <left/>
      <right style="thin"/>
      <top style="thin"/>
      <bottom style="medium"/>
    </border>
    <border>
      <left style="thin"/>
      <right style="thin"/>
      <top/>
      <bottom/>
    </border>
    <border>
      <left/>
      <right style="thin"/>
      <top/>
      <bottom style="thin"/>
    </border>
    <border>
      <left style="medium"/>
      <right style="thin"/>
      <top style="medium"/>
      <bottom style="medium"/>
    </border>
    <border>
      <left style="medium"/>
      <right style="medium"/>
      <top/>
      <bottom style="thin"/>
    </border>
    <border>
      <left style="medium"/>
      <right style="medium"/>
      <top/>
      <bottom/>
    </border>
    <border>
      <left style="medium"/>
      <right style="medium"/>
      <top style="medium"/>
      <bottom style="thin"/>
    </border>
    <border>
      <left style="medium"/>
      <right style="medium"/>
      <top style="medium"/>
      <bottom style="medium"/>
    </border>
    <border>
      <left style="medium"/>
      <right style="medium"/>
      <top style="thin"/>
      <bottom style="medium"/>
    </border>
    <border>
      <left/>
      <right style="medium"/>
      <top style="medium"/>
      <bottom style="thin"/>
    </border>
    <border>
      <left style="medium"/>
      <right style="medium"/>
      <top style="thin"/>
      <bottom style="thin"/>
    </border>
    <border>
      <left/>
      <right style="medium"/>
      <top style="thin"/>
      <bottom style="thin"/>
    </border>
    <border>
      <left/>
      <right style="medium"/>
      <top style="thin"/>
      <bottom style="medium"/>
    </border>
    <border>
      <left style="medium"/>
      <right style="thin"/>
      <top style="medium"/>
      <bottom/>
    </border>
    <border>
      <left style="medium"/>
      <right style="thin"/>
      <top/>
      <bottom/>
    </border>
    <border>
      <left style="thin"/>
      <right style="thin"/>
      <top style="medium"/>
      <bottom/>
    </border>
    <border>
      <left style="thin"/>
      <right/>
      <top style="medium"/>
      <bottom style="thin"/>
    </border>
    <border>
      <left style="thin"/>
      <right/>
      <top/>
      <bottom style="thin"/>
    </border>
    <border>
      <left style="thin"/>
      <right style="medium"/>
      <top style="medium"/>
      <bottom/>
    </border>
    <border>
      <left style="thin"/>
      <right style="medium"/>
      <top/>
      <bottom/>
    </border>
    <border>
      <left style="thin"/>
      <right/>
      <top style="medium"/>
      <bottom style="medium"/>
    </border>
    <border>
      <left/>
      <right style="thin"/>
      <top style="medium"/>
      <bottom style="medium"/>
    </border>
    <border>
      <left/>
      <right style="thin">
        <color theme="4"/>
      </right>
      <top/>
      <bottom/>
    </border>
    <border>
      <left style="medium"/>
      <right style="thin"/>
      <top style="thin"/>
      <bottom/>
    </border>
    <border>
      <left style="medium"/>
      <right/>
      <top style="medium"/>
      <bottom style="medium"/>
    </border>
    <border>
      <left/>
      <right/>
      <top style="medium"/>
      <bottom style="medium"/>
    </border>
    <border>
      <left/>
      <right style="medium"/>
      <top style="medium"/>
      <bottom style="medium"/>
    </border>
    <border>
      <left/>
      <right style="thin"/>
      <top style="thin"/>
      <bottom/>
    </border>
    <border>
      <left style="thin"/>
      <right/>
      <top style="thin"/>
      <bottom style="thin"/>
    </border>
    <border>
      <left/>
      <right/>
      <top style="thin"/>
      <bottom style="thin"/>
    </border>
    <border>
      <left/>
      <right/>
      <top style="thin"/>
      <bottom/>
    </border>
    <border>
      <left/>
      <right style="thin"/>
      <top/>
      <bottom/>
    </border>
    <border>
      <left/>
      <right/>
      <top/>
      <bottom style="thin"/>
    </border>
    <border>
      <left style="thin"/>
      <right/>
      <top style="thin"/>
      <bottom/>
    </border>
    <border>
      <left style="thin"/>
      <right style="thin"/>
      <top/>
      <bottom style="medium"/>
    </border>
    <border>
      <left style="thin"/>
      <right style="medium"/>
      <top/>
      <bottom style="medium"/>
    </border>
    <border>
      <left style="medium"/>
      <right style="thin"/>
      <top/>
      <bottom style="medium"/>
    </border>
    <border>
      <left style="thin"/>
      <right/>
      <top style="thin"/>
      <bottom style="medium"/>
    </border>
    <border>
      <left/>
      <right style="medium"/>
      <top/>
      <bottom style="thin"/>
    </border>
    <border>
      <left style="medium"/>
      <right/>
      <top/>
      <bottom style="thin"/>
    </border>
    <border>
      <left/>
      <right/>
      <top style="medium"/>
      <bottom style="thin"/>
    </border>
    <border>
      <left style="medium"/>
      <right/>
      <top style="thin"/>
      <bottom style="medium"/>
    </border>
    <border>
      <left/>
      <right/>
      <top style="thin"/>
      <bottom style="medium"/>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7" fillId="0" borderId="8" applyNumberFormat="0" applyFill="0" applyAlignment="0" applyProtection="0"/>
    <xf numFmtId="0" fontId="57" fillId="0" borderId="9" applyNumberFormat="0" applyFill="0" applyAlignment="0" applyProtection="0"/>
  </cellStyleXfs>
  <cellXfs count="328">
    <xf numFmtId="0" fontId="0" fillId="0" borderId="0" xfId="0" applyFont="1" applyAlignment="1">
      <alignment/>
    </xf>
    <xf numFmtId="0" fontId="44" fillId="33" borderId="0" xfId="0" applyFont="1" applyFill="1" applyAlignment="1">
      <alignment/>
    </xf>
    <xf numFmtId="0" fontId="57" fillId="0" borderId="0" xfId="0" applyFont="1" applyAlignment="1">
      <alignment/>
    </xf>
    <xf numFmtId="0" fontId="0" fillId="0" borderId="10" xfId="0" applyBorder="1" applyAlignment="1">
      <alignment/>
    </xf>
    <xf numFmtId="0" fontId="32" fillId="34" borderId="0" xfId="0" applyFont="1" applyFill="1" applyAlignment="1">
      <alignment vertical="center"/>
    </xf>
    <xf numFmtId="0" fontId="44" fillId="33" borderId="11" xfId="0" applyFont="1" applyFill="1" applyBorder="1" applyAlignment="1">
      <alignment/>
    </xf>
    <xf numFmtId="0" fontId="0" fillId="35" borderId="12" xfId="0" applyFill="1" applyBorder="1" applyAlignment="1">
      <alignment/>
    </xf>
    <xf numFmtId="0" fontId="0" fillId="36" borderId="12" xfId="0" applyFill="1" applyBorder="1" applyAlignment="1">
      <alignment/>
    </xf>
    <xf numFmtId="0" fontId="0" fillId="0" borderId="13" xfId="0" applyBorder="1" applyAlignment="1">
      <alignment horizontal="center" vertical="center"/>
    </xf>
    <xf numFmtId="0" fontId="57" fillId="0" borderId="0" xfId="0" applyFont="1" applyAlignment="1">
      <alignment horizontal="center" vertical="center"/>
    </xf>
    <xf numFmtId="0" fontId="57" fillId="0" borderId="13" xfId="0" applyFont="1" applyBorder="1" applyAlignment="1">
      <alignment horizontal="center" vertical="center"/>
    </xf>
    <xf numFmtId="0" fontId="57" fillId="37" borderId="0" xfId="0" applyFont="1" applyFill="1" applyAlignment="1">
      <alignment horizontal="center" vertical="center"/>
    </xf>
    <xf numFmtId="0" fontId="57" fillId="24" borderId="0" xfId="0" applyFont="1" applyFill="1" applyAlignment="1">
      <alignment horizontal="center" vertical="center"/>
    </xf>
    <xf numFmtId="0" fontId="57" fillId="38" borderId="0" xfId="0" applyFont="1" applyFill="1" applyAlignment="1">
      <alignment horizontal="center" vertical="center"/>
    </xf>
    <xf numFmtId="0" fontId="57" fillId="39" borderId="0" xfId="0" applyFont="1" applyFill="1" applyAlignment="1">
      <alignment horizontal="center" vertical="center"/>
    </xf>
    <xf numFmtId="0" fontId="58" fillId="39" borderId="14" xfId="0" applyFont="1" applyFill="1" applyBorder="1" applyAlignment="1">
      <alignment horizontal="center" vertical="center" wrapText="1" readingOrder="1"/>
    </xf>
    <xf numFmtId="0" fontId="58" fillId="40" borderId="15" xfId="0" applyFont="1" applyFill="1" applyBorder="1" applyAlignment="1">
      <alignment horizontal="center" vertical="center" wrapText="1" readingOrder="1"/>
    </xf>
    <xf numFmtId="0" fontId="58" fillId="41" borderId="15" xfId="0" applyFont="1" applyFill="1" applyBorder="1" applyAlignment="1">
      <alignment horizontal="center" vertical="center" wrapText="1" readingOrder="1"/>
    </xf>
    <xf numFmtId="0" fontId="58" fillId="42" borderId="15" xfId="0" applyFont="1" applyFill="1" applyBorder="1" applyAlignment="1">
      <alignment horizontal="center" vertical="center" wrapText="1" readingOrder="1"/>
    </xf>
    <xf numFmtId="0" fontId="59" fillId="37" borderId="15" xfId="0" applyFont="1" applyFill="1" applyBorder="1" applyAlignment="1">
      <alignment horizontal="center" vertical="center" wrapText="1" readingOrder="1"/>
    </xf>
    <xf numFmtId="0" fontId="60" fillId="43" borderId="13" xfId="0" applyFont="1" applyFill="1" applyBorder="1" applyAlignment="1">
      <alignment horizontal="center" vertical="center" wrapText="1" readingOrder="1"/>
    </xf>
    <xf numFmtId="9" fontId="58" fillId="0" borderId="13" xfId="0" applyNumberFormat="1" applyFont="1" applyBorder="1" applyAlignment="1">
      <alignment horizontal="center" vertical="center" wrapText="1" readingOrder="1"/>
    </xf>
    <xf numFmtId="9" fontId="0" fillId="0" borderId="0" xfId="0" applyNumberFormat="1" applyAlignment="1">
      <alignment/>
    </xf>
    <xf numFmtId="0" fontId="60" fillId="43" borderId="16" xfId="0" applyFont="1" applyFill="1" applyBorder="1" applyAlignment="1">
      <alignment horizontal="center" vertical="center" wrapText="1" readingOrder="1"/>
    </xf>
    <xf numFmtId="0" fontId="60" fillId="43" borderId="0" xfId="0" applyFont="1" applyFill="1" applyAlignment="1">
      <alignment horizontal="center" vertical="center" wrapText="1" readingOrder="1"/>
    </xf>
    <xf numFmtId="0" fontId="60" fillId="43" borderId="17" xfId="0" applyFont="1" applyFill="1" applyBorder="1" applyAlignment="1">
      <alignment horizontal="center" vertical="center" wrapText="1" readingOrder="1"/>
    </xf>
    <xf numFmtId="0" fontId="58" fillId="0" borderId="18" xfId="0" applyFont="1" applyBorder="1" applyAlignment="1">
      <alignment horizontal="center" vertical="center" wrapText="1" readingOrder="1"/>
    </xf>
    <xf numFmtId="0" fontId="58" fillId="0" borderId="19" xfId="0" applyFont="1" applyBorder="1" applyAlignment="1">
      <alignment horizontal="center" vertical="center" wrapText="1" readingOrder="1"/>
    </xf>
    <xf numFmtId="0" fontId="58" fillId="0" borderId="18" xfId="0" applyFont="1" applyBorder="1" applyAlignment="1">
      <alignment horizontal="justify" vertical="center" wrapText="1" readingOrder="1"/>
    </xf>
    <xf numFmtId="0" fontId="58" fillId="0" borderId="19" xfId="0" applyFont="1" applyBorder="1" applyAlignment="1">
      <alignment horizontal="justify" vertical="center" wrapText="1" readingOrder="1"/>
    </xf>
    <xf numFmtId="0" fontId="58" fillId="0" borderId="20" xfId="0" applyFont="1" applyBorder="1" applyAlignment="1">
      <alignment horizontal="justify" vertical="center" wrapText="1" readingOrder="1"/>
    </xf>
    <xf numFmtId="0" fontId="59" fillId="37" borderId="21" xfId="0" applyFont="1" applyFill="1" applyBorder="1" applyAlignment="1">
      <alignment horizontal="center" vertical="center" wrapText="1" readingOrder="1"/>
    </xf>
    <xf numFmtId="0" fontId="60" fillId="43" borderId="22" xfId="0" applyFont="1" applyFill="1" applyBorder="1" applyAlignment="1">
      <alignment horizontal="center" vertical="center" wrapText="1" readingOrder="1"/>
    </xf>
    <xf numFmtId="9" fontId="58" fillId="0" borderId="23" xfId="0" applyNumberFormat="1" applyFont="1" applyBorder="1" applyAlignment="1">
      <alignment horizontal="center" vertical="center" wrapText="1" readingOrder="1"/>
    </xf>
    <xf numFmtId="9" fontId="0" fillId="0" borderId="17" xfId="0" applyNumberFormat="1" applyBorder="1" applyAlignment="1">
      <alignment horizontal="center"/>
    </xf>
    <xf numFmtId="0" fontId="0" fillId="0" borderId="17" xfId="0" applyBorder="1" applyAlignment="1">
      <alignment horizontal="center"/>
    </xf>
    <xf numFmtId="9" fontId="0" fillId="0" borderId="24" xfId="0" applyNumberFormat="1" applyBorder="1" applyAlignment="1">
      <alignment horizontal="center"/>
    </xf>
    <xf numFmtId="9" fontId="0" fillId="0" borderId="13" xfId="53" applyFont="1" applyBorder="1" applyAlignment="1">
      <alignment horizontal="center" vertical="center"/>
    </xf>
    <xf numFmtId="0" fontId="58" fillId="0" borderId="0" xfId="0" applyFont="1" applyAlignment="1">
      <alignment horizontal="center" vertical="center" wrapText="1" readingOrder="1"/>
    </xf>
    <xf numFmtId="0" fontId="60" fillId="43" borderId="25" xfId="0" applyFont="1" applyFill="1" applyBorder="1" applyAlignment="1">
      <alignment horizontal="center" vertical="center" wrapText="1" readingOrder="1"/>
    </xf>
    <xf numFmtId="0" fontId="58" fillId="0" borderId="25" xfId="0" applyFont="1" applyBorder="1" applyAlignment="1">
      <alignment horizontal="justify" vertical="center" wrapText="1" readingOrder="1"/>
    </xf>
    <xf numFmtId="0" fontId="58" fillId="39" borderId="22" xfId="0" applyFont="1" applyFill="1" applyBorder="1" applyAlignment="1">
      <alignment horizontal="center" vertical="center" wrapText="1" readingOrder="1"/>
    </xf>
    <xf numFmtId="0" fontId="58" fillId="40" borderId="22" xfId="0" applyFont="1" applyFill="1" applyBorder="1" applyAlignment="1">
      <alignment horizontal="center" vertical="center" wrapText="1" readingOrder="1"/>
    </xf>
    <xf numFmtId="0" fontId="58" fillId="41" borderId="22" xfId="0" applyFont="1" applyFill="1" applyBorder="1" applyAlignment="1">
      <alignment horizontal="center" vertical="center" wrapText="1" readingOrder="1"/>
    </xf>
    <xf numFmtId="0" fontId="58" fillId="42" borderId="22" xfId="0" applyFont="1" applyFill="1" applyBorder="1" applyAlignment="1">
      <alignment horizontal="center" vertical="center" wrapText="1" readingOrder="1"/>
    </xf>
    <xf numFmtId="0" fontId="58" fillId="0" borderId="26" xfId="0" applyFont="1" applyBorder="1" applyAlignment="1">
      <alignment horizontal="justify" vertical="center" wrapText="1" readingOrder="1"/>
    </xf>
    <xf numFmtId="0" fontId="0" fillId="0" borderId="23" xfId="0" applyBorder="1" applyAlignment="1">
      <alignment horizontal="center" vertical="center"/>
    </xf>
    <xf numFmtId="0" fontId="32" fillId="37" borderId="27" xfId="0" applyFont="1" applyFill="1" applyBorder="1" applyAlignment="1">
      <alignment horizontal="center" vertical="center" wrapText="1" readingOrder="1"/>
    </xf>
    <xf numFmtId="9" fontId="0" fillId="0" borderId="13" xfId="0" applyNumberFormat="1" applyBorder="1" applyAlignment="1">
      <alignment horizontal="center" vertical="center"/>
    </xf>
    <xf numFmtId="0" fontId="0" fillId="0" borderId="13" xfId="0" applyBorder="1" applyAlignment="1">
      <alignment horizontal="left" vertical="center"/>
    </xf>
    <xf numFmtId="9" fontId="0" fillId="0" borderId="13" xfId="0" applyNumberFormat="1" applyBorder="1" applyAlignment="1">
      <alignment horizontal="center" vertical="center" readingOrder="1"/>
    </xf>
    <xf numFmtId="0" fontId="61" fillId="0" borderId="13" xfId="0" applyFont="1" applyBorder="1" applyAlignment="1">
      <alignment vertical="center" wrapText="1"/>
    </xf>
    <xf numFmtId="0" fontId="57" fillId="0" borderId="13" xfId="0" applyFont="1" applyBorder="1" applyAlignment="1">
      <alignment vertical="center"/>
    </xf>
    <xf numFmtId="0" fontId="62" fillId="7" borderId="28" xfId="0" applyFont="1" applyFill="1" applyBorder="1" applyAlignment="1">
      <alignment horizontal="center" vertical="center" wrapText="1" readingOrder="1"/>
    </xf>
    <xf numFmtId="0" fontId="63" fillId="34" borderId="29" xfId="0" applyFont="1" applyFill="1" applyBorder="1" applyAlignment="1">
      <alignment horizontal="justify" vertical="center" wrapText="1" readingOrder="1"/>
    </xf>
    <xf numFmtId="9" fontId="62" fillId="34" borderId="30" xfId="0" applyNumberFormat="1" applyFont="1" applyFill="1" applyBorder="1" applyAlignment="1">
      <alignment horizontal="center" vertical="center" wrapText="1" readingOrder="1"/>
    </xf>
    <xf numFmtId="0" fontId="63" fillId="34" borderId="13" xfId="0" applyFont="1" applyFill="1" applyBorder="1" applyAlignment="1">
      <alignment horizontal="justify" vertical="center" wrapText="1" readingOrder="1"/>
    </xf>
    <xf numFmtId="9" fontId="62" fillId="34" borderId="22" xfId="0" applyNumberFormat="1" applyFont="1" applyFill="1" applyBorder="1" applyAlignment="1">
      <alignment horizontal="center" vertical="center" wrapText="1" readingOrder="1"/>
    </xf>
    <xf numFmtId="0" fontId="63" fillId="34" borderId="22" xfId="0" applyFont="1" applyFill="1" applyBorder="1" applyAlignment="1">
      <alignment horizontal="center" vertical="center" wrapText="1" readingOrder="1"/>
    </xf>
    <xf numFmtId="0" fontId="63" fillId="34" borderId="23" xfId="0" applyFont="1" applyFill="1" applyBorder="1" applyAlignment="1">
      <alignment horizontal="justify" vertical="center" wrapText="1" readingOrder="1"/>
    </xf>
    <xf numFmtId="0" fontId="63" fillId="34" borderId="27" xfId="0" applyFont="1" applyFill="1" applyBorder="1" applyAlignment="1">
      <alignment horizontal="center" vertical="center" wrapText="1" readingOrder="1"/>
    </xf>
    <xf numFmtId="2" fontId="0" fillId="0" borderId="0" xfId="0" applyNumberFormat="1" applyAlignment="1">
      <alignment/>
    </xf>
    <xf numFmtId="0" fontId="0" fillId="0" borderId="0" xfId="0" applyAlignment="1">
      <alignment horizontal="center" vertical="center"/>
    </xf>
    <xf numFmtId="0" fontId="63" fillId="34" borderId="25" xfId="0" applyFont="1" applyFill="1" applyBorder="1" applyAlignment="1">
      <alignment horizontal="center" vertical="center" wrapText="1" readingOrder="1"/>
    </xf>
    <xf numFmtId="0" fontId="63" fillId="34" borderId="26" xfId="0" applyFont="1" applyFill="1" applyBorder="1" applyAlignment="1">
      <alignment horizontal="center" vertical="center" wrapText="1" readingOrder="1"/>
    </xf>
    <xf numFmtId="0" fontId="0" fillId="0" borderId="22" xfId="0" applyBorder="1" applyAlignment="1">
      <alignment horizontal="center"/>
    </xf>
    <xf numFmtId="0" fontId="0" fillId="0" borderId="27" xfId="0" applyBorder="1" applyAlignment="1">
      <alignment horizontal="center"/>
    </xf>
    <xf numFmtId="0" fontId="0" fillId="0" borderId="31" xfId="0" applyFont="1" applyBorder="1" applyAlignment="1">
      <alignment/>
    </xf>
    <xf numFmtId="0" fontId="44" fillId="33" borderId="0" xfId="0" applyFont="1" applyFill="1" applyAlignment="1">
      <alignment/>
    </xf>
    <xf numFmtId="0" fontId="58" fillId="0" borderId="0" xfId="0" applyFont="1" applyAlignment="1">
      <alignment horizontal="center" vertical="center" wrapText="1" readingOrder="1"/>
    </xf>
    <xf numFmtId="0" fontId="62" fillId="7" borderId="32" xfId="0" applyFont="1" applyFill="1" applyBorder="1" applyAlignment="1">
      <alignment horizontal="center" vertical="center" wrapText="1" readingOrder="1"/>
    </xf>
    <xf numFmtId="0" fontId="62" fillId="34" borderId="29" xfId="0" applyFont="1" applyFill="1" applyBorder="1" applyAlignment="1">
      <alignment horizontal="center" vertical="center" wrapText="1" readingOrder="1"/>
    </xf>
    <xf numFmtId="0" fontId="62" fillId="34" borderId="13" xfId="0" applyFont="1" applyFill="1" applyBorder="1" applyAlignment="1">
      <alignment horizontal="center" vertical="center" wrapText="1" readingOrder="1"/>
    </xf>
    <xf numFmtId="0" fontId="62" fillId="34" borderId="23" xfId="0" applyFont="1" applyFill="1" applyBorder="1" applyAlignment="1">
      <alignment horizontal="center" vertical="center" wrapText="1" readingOrder="1"/>
    </xf>
    <xf numFmtId="0" fontId="58" fillId="0" borderId="0" xfId="0" applyFont="1" applyAlignment="1">
      <alignment horizontal="justify" vertical="center" readingOrder="1"/>
    </xf>
    <xf numFmtId="0" fontId="60" fillId="43" borderId="33" xfId="0" applyFont="1" applyFill="1" applyBorder="1" applyAlignment="1">
      <alignment horizontal="center" vertical="center" wrapText="1" readingOrder="1"/>
    </xf>
    <xf numFmtId="0" fontId="60" fillId="43" borderId="34" xfId="0" applyFont="1" applyFill="1" applyBorder="1" applyAlignment="1">
      <alignment horizontal="center" vertical="center" wrapText="1" readingOrder="1"/>
    </xf>
    <xf numFmtId="0" fontId="0" fillId="0" borderId="0" xfId="0" applyFont="1" applyAlignment="1">
      <alignment/>
    </xf>
    <xf numFmtId="0" fontId="61" fillId="0" borderId="13" xfId="0" applyFont="1" applyBorder="1" applyAlignment="1" applyProtection="1">
      <alignment horizontal="justify" vertical="center"/>
      <protection locked="0"/>
    </xf>
    <xf numFmtId="0" fontId="61" fillId="0" borderId="13" xfId="0" applyFont="1" applyBorder="1" applyAlignment="1" applyProtection="1">
      <alignment horizontal="center" vertical="center" wrapText="1"/>
      <protection locked="0"/>
    </xf>
    <xf numFmtId="0" fontId="61" fillId="0" borderId="29" xfId="0" applyFont="1" applyBorder="1" applyAlignment="1" applyProtection="1">
      <alignment horizontal="justify" vertical="center"/>
      <protection locked="0"/>
    </xf>
    <xf numFmtId="0" fontId="61" fillId="0" borderId="29" xfId="0" applyFont="1" applyBorder="1" applyAlignment="1" applyProtection="1">
      <alignment horizontal="center" vertical="center" wrapText="1"/>
      <protection locked="0"/>
    </xf>
    <xf numFmtId="0" fontId="61" fillId="0" borderId="35" xfId="0" applyFont="1" applyBorder="1" applyAlignment="1" applyProtection="1">
      <alignment horizontal="justify" vertical="center"/>
      <protection locked="0"/>
    </xf>
    <xf numFmtId="0" fontId="61" fillId="0" borderId="35" xfId="0" applyFont="1" applyBorder="1" applyAlignment="1" applyProtection="1">
      <alignment horizontal="center" vertical="center" wrapText="1"/>
      <protection locked="0"/>
    </xf>
    <xf numFmtId="0" fontId="61" fillId="0" borderId="23" xfId="0" applyFont="1" applyBorder="1" applyAlignment="1" applyProtection="1">
      <alignment horizontal="justify" vertical="center"/>
      <protection locked="0"/>
    </xf>
    <xf numFmtId="0" fontId="61" fillId="0" borderId="23" xfId="0" applyFont="1" applyBorder="1" applyAlignment="1" applyProtection="1">
      <alignment horizontal="center" vertical="center" wrapText="1"/>
      <protection locked="0"/>
    </xf>
    <xf numFmtId="9" fontId="61" fillId="6" borderId="34" xfId="0" applyNumberFormat="1" applyFont="1" applyFill="1" applyBorder="1" applyAlignment="1" applyProtection="1">
      <alignment horizontal="center" vertical="center" wrapText="1"/>
      <protection hidden="1"/>
    </xf>
    <xf numFmtId="9" fontId="61" fillId="6" borderId="22" xfId="0" applyNumberFormat="1" applyFont="1" applyFill="1" applyBorder="1" applyAlignment="1" applyProtection="1">
      <alignment horizontal="center" vertical="center" wrapText="1"/>
      <protection hidden="1"/>
    </xf>
    <xf numFmtId="9" fontId="61" fillId="6" borderId="27" xfId="0" applyNumberFormat="1" applyFont="1" applyFill="1" applyBorder="1" applyAlignment="1" applyProtection="1">
      <alignment horizontal="center" vertical="center" wrapText="1"/>
      <protection hidden="1"/>
    </xf>
    <xf numFmtId="9" fontId="61" fillId="6" borderId="30" xfId="0" applyNumberFormat="1" applyFont="1" applyFill="1" applyBorder="1" applyAlignment="1" applyProtection="1">
      <alignment horizontal="center" vertical="center" wrapText="1"/>
      <protection hidden="1"/>
    </xf>
    <xf numFmtId="0" fontId="61" fillId="6" borderId="29" xfId="0" applyFont="1" applyFill="1" applyBorder="1" applyAlignment="1" applyProtection="1">
      <alignment horizontal="center" vertical="center" wrapText="1"/>
      <protection hidden="1"/>
    </xf>
    <xf numFmtId="0" fontId="61" fillId="6" borderId="13" xfId="0" applyFont="1" applyFill="1" applyBorder="1" applyAlignment="1" applyProtection="1">
      <alignment horizontal="center" vertical="center" wrapText="1"/>
      <protection hidden="1"/>
    </xf>
    <xf numFmtId="0" fontId="61" fillId="6" borderId="35" xfId="0" applyFont="1" applyFill="1" applyBorder="1" applyAlignment="1" applyProtection="1">
      <alignment horizontal="center" vertical="center" wrapText="1"/>
      <protection hidden="1"/>
    </xf>
    <xf numFmtId="0" fontId="61" fillId="6" borderId="23" xfId="0" applyFont="1" applyFill="1" applyBorder="1" applyAlignment="1" applyProtection="1">
      <alignment horizontal="center" vertical="center" wrapText="1"/>
      <protection hidden="1"/>
    </xf>
    <xf numFmtId="0" fontId="0" fillId="0" borderId="0" xfId="0" applyAlignment="1" applyProtection="1">
      <alignment/>
      <protection locked="0"/>
    </xf>
    <xf numFmtId="0" fontId="64" fillId="0" borderId="33" xfId="0" applyFont="1" applyBorder="1" applyAlignment="1" applyProtection="1">
      <alignment horizontal="center" vertical="center"/>
      <protection locked="0"/>
    </xf>
    <xf numFmtId="0" fontId="64" fillId="0" borderId="25" xfId="0" applyFont="1" applyBorder="1" applyAlignment="1" applyProtection="1">
      <alignment horizontal="center" vertical="center"/>
      <protection locked="0"/>
    </xf>
    <xf numFmtId="0" fontId="61" fillId="0" borderId="13" xfId="0" applyFont="1" applyBorder="1" applyAlignment="1" applyProtection="1">
      <alignment horizontal="center" vertical="center"/>
      <protection locked="0"/>
    </xf>
    <xf numFmtId="0" fontId="64" fillId="0" borderId="26" xfId="0" applyFont="1" applyBorder="1" applyAlignment="1" applyProtection="1">
      <alignment horizontal="center" vertical="center"/>
      <protection locked="0"/>
    </xf>
    <xf numFmtId="0" fontId="64" fillId="0" borderId="36" xfId="0" applyFont="1" applyBorder="1" applyAlignment="1" applyProtection="1">
      <alignment horizontal="center" vertical="center"/>
      <protection locked="0"/>
    </xf>
    <xf numFmtId="0" fontId="65" fillId="23" borderId="13" xfId="0" applyFont="1" applyFill="1" applyBorder="1" applyAlignment="1" applyProtection="1">
      <alignment horizontal="center" vertical="center"/>
      <protection locked="0"/>
    </xf>
    <xf numFmtId="0" fontId="65" fillId="23" borderId="13" xfId="0" applyFont="1" applyFill="1" applyBorder="1" applyAlignment="1" applyProtection="1">
      <alignment vertical="center"/>
      <protection locked="0"/>
    </xf>
    <xf numFmtId="0" fontId="66" fillId="0" borderId="13" xfId="0" applyFont="1" applyBorder="1" applyAlignment="1" applyProtection="1">
      <alignment horizontal="left"/>
      <protection locked="0"/>
    </xf>
    <xf numFmtId="0" fontId="64" fillId="44" borderId="35" xfId="0" applyFont="1" applyFill="1" applyBorder="1" applyAlignment="1">
      <alignment horizontal="center" vertical="center" textRotation="90" wrapText="1"/>
    </xf>
    <xf numFmtId="0" fontId="64" fillId="44" borderId="37" xfId="0" applyFont="1" applyFill="1" applyBorder="1" applyAlignment="1">
      <alignment horizontal="center" vertical="center" wrapText="1"/>
    </xf>
    <xf numFmtId="0" fontId="64" fillId="44" borderId="37" xfId="0" applyFont="1" applyFill="1" applyBorder="1" applyAlignment="1">
      <alignment horizontal="center" vertical="center" textRotation="90" wrapText="1"/>
    </xf>
    <xf numFmtId="0" fontId="64" fillId="6" borderId="38" xfId="0" applyFont="1" applyFill="1" applyBorder="1" applyAlignment="1">
      <alignment horizontal="center" vertical="center" textRotation="90" wrapText="1"/>
    </xf>
    <xf numFmtId="0" fontId="61" fillId="6" borderId="39" xfId="0" applyFont="1" applyFill="1" applyBorder="1" applyAlignment="1" applyProtection="1">
      <alignment horizontal="center" vertical="center"/>
      <protection hidden="1"/>
    </xf>
    <xf numFmtId="164" fontId="61" fillId="6" borderId="35" xfId="53" applyNumberFormat="1" applyFont="1" applyFill="1" applyBorder="1" applyAlignment="1" applyProtection="1">
      <alignment horizontal="center" vertical="center" wrapText="1"/>
      <protection hidden="1"/>
    </xf>
    <xf numFmtId="0" fontId="61" fillId="6" borderId="35" xfId="0" applyFont="1" applyFill="1" applyBorder="1" applyAlignment="1" applyProtection="1">
      <alignment horizontal="center" vertical="center"/>
      <protection hidden="1"/>
    </xf>
    <xf numFmtId="0" fontId="61" fillId="6" borderId="40" xfId="0" applyFont="1" applyFill="1" applyBorder="1" applyAlignment="1" applyProtection="1">
      <alignment horizontal="center" vertical="center"/>
      <protection hidden="1"/>
    </xf>
    <xf numFmtId="164" fontId="61" fillId="6" borderId="13" xfId="53" applyNumberFormat="1" applyFont="1" applyFill="1" applyBorder="1" applyAlignment="1" applyProtection="1">
      <alignment horizontal="center" vertical="center" wrapText="1"/>
      <protection hidden="1"/>
    </xf>
    <xf numFmtId="0" fontId="61" fillId="6" borderId="13" xfId="0" applyFont="1" applyFill="1" applyBorder="1" applyAlignment="1" applyProtection="1">
      <alignment horizontal="center" vertical="center"/>
      <protection hidden="1"/>
    </xf>
    <xf numFmtId="0" fontId="61" fillId="6" borderId="41" xfId="0" applyFont="1" applyFill="1" applyBorder="1" applyAlignment="1" applyProtection="1">
      <alignment horizontal="center" vertical="center"/>
      <protection hidden="1"/>
    </xf>
    <xf numFmtId="164" fontId="61" fillId="6" borderId="23" xfId="53" applyNumberFormat="1" applyFont="1" applyFill="1" applyBorder="1" applyAlignment="1" applyProtection="1">
      <alignment horizontal="center" vertical="center" wrapText="1"/>
      <protection hidden="1"/>
    </xf>
    <xf numFmtId="0" fontId="61" fillId="6" borderId="23" xfId="0" applyFont="1" applyFill="1" applyBorder="1" applyAlignment="1" applyProtection="1">
      <alignment horizontal="center" vertical="center"/>
      <protection hidden="1"/>
    </xf>
    <xf numFmtId="164" fontId="61" fillId="6" borderId="29" xfId="53" applyNumberFormat="1" applyFont="1" applyFill="1" applyBorder="1" applyAlignment="1" applyProtection="1">
      <alignment horizontal="center" vertical="center" wrapText="1"/>
      <protection hidden="1"/>
    </xf>
    <xf numFmtId="0" fontId="61" fillId="6" borderId="29" xfId="0" applyFont="1" applyFill="1" applyBorder="1" applyAlignment="1" applyProtection="1">
      <alignment horizontal="center" vertical="center"/>
      <protection hidden="1"/>
    </xf>
    <xf numFmtId="0" fontId="64" fillId="44" borderId="42" xfId="0" applyFont="1" applyFill="1" applyBorder="1" applyAlignment="1">
      <alignment horizontal="center" vertical="center" wrapText="1"/>
    </xf>
    <xf numFmtId="0" fontId="61" fillId="6" borderId="43" xfId="0" applyFont="1" applyFill="1" applyBorder="1" applyAlignment="1" applyProtection="1">
      <alignment horizontal="center" vertical="center"/>
      <protection hidden="1"/>
    </xf>
    <xf numFmtId="0" fontId="65" fillId="23" borderId="44" xfId="0" applyFont="1" applyFill="1" applyBorder="1" applyAlignment="1" applyProtection="1">
      <alignment horizontal="center" vertical="center"/>
      <protection locked="0"/>
    </xf>
    <xf numFmtId="0" fontId="11" fillId="45" borderId="45" xfId="0" applyFont="1" applyFill="1" applyBorder="1" applyAlignment="1" applyProtection="1">
      <alignment horizontal="center" vertical="center" wrapText="1"/>
      <protection locked="0"/>
    </xf>
    <xf numFmtId="0" fontId="11" fillId="45" borderId="46" xfId="0" applyFont="1" applyFill="1" applyBorder="1" applyAlignment="1" applyProtection="1">
      <alignment horizontal="center" vertical="center" wrapText="1"/>
      <protection locked="0"/>
    </xf>
    <xf numFmtId="0" fontId="67" fillId="23" borderId="44" xfId="0" applyFont="1" applyFill="1" applyBorder="1" applyAlignment="1">
      <alignment horizontal="center" vertical="center"/>
    </xf>
    <xf numFmtId="0" fontId="14" fillId="6" borderId="47" xfId="0" applyFont="1" applyFill="1" applyBorder="1" applyAlignment="1">
      <alignment horizontal="left" vertical="center" wrapText="1"/>
    </xf>
    <xf numFmtId="0" fontId="7" fillId="6" borderId="48" xfId="0" applyFont="1" applyFill="1" applyBorder="1" applyAlignment="1">
      <alignment horizontal="center" vertical="center" wrapText="1"/>
    </xf>
    <xf numFmtId="0" fontId="8" fillId="6" borderId="49" xfId="0" applyFont="1" applyFill="1" applyBorder="1" applyAlignment="1">
      <alignment horizontal="left" vertical="center" wrapText="1"/>
    </xf>
    <xf numFmtId="0" fontId="13" fillId="6" borderId="49" xfId="0" applyFont="1" applyFill="1" applyBorder="1" applyAlignment="1">
      <alignment horizontal="center" vertical="center" wrapText="1"/>
    </xf>
    <xf numFmtId="0" fontId="8" fillId="6" borderId="47" xfId="0" applyFont="1" applyFill="1" applyBorder="1" applyAlignment="1">
      <alignment horizontal="center" vertical="center" wrapText="1"/>
    </xf>
    <xf numFmtId="0" fontId="10" fillId="6" borderId="50" xfId="0" applyFont="1" applyFill="1" applyBorder="1" applyAlignment="1">
      <alignment horizontal="justify" vertical="center" wrapText="1"/>
    </xf>
    <xf numFmtId="0" fontId="8" fillId="6" borderId="51" xfId="0" applyFont="1" applyFill="1" applyBorder="1" applyAlignment="1">
      <alignment horizontal="center" vertical="center" wrapText="1"/>
    </xf>
    <xf numFmtId="0" fontId="10" fillId="6" borderId="52" xfId="0" applyFont="1" applyFill="1" applyBorder="1" applyAlignment="1">
      <alignment horizontal="justify" vertical="center" wrapText="1"/>
    </xf>
    <xf numFmtId="0" fontId="8" fillId="6" borderId="49" xfId="0" applyFont="1" applyFill="1" applyBorder="1" applyAlignment="1">
      <alignment horizontal="center" vertical="center" wrapText="1"/>
    </xf>
    <xf numFmtId="0" fontId="10" fillId="6" borderId="53" xfId="0" applyFont="1" applyFill="1" applyBorder="1" applyAlignment="1">
      <alignment horizontal="justify" vertical="center" wrapText="1"/>
    </xf>
    <xf numFmtId="0" fontId="11" fillId="6" borderId="48" xfId="0" applyFont="1" applyFill="1" applyBorder="1" applyAlignment="1" applyProtection="1">
      <alignment horizontal="center" vertical="center"/>
      <protection hidden="1"/>
    </xf>
    <xf numFmtId="0" fontId="8" fillId="6" borderId="47" xfId="0" applyFont="1" applyFill="1" applyBorder="1" applyAlignment="1" applyProtection="1">
      <alignment horizontal="center"/>
      <protection hidden="1"/>
    </xf>
    <xf numFmtId="0" fontId="8" fillId="6" borderId="49" xfId="0" applyFont="1" applyFill="1" applyBorder="1" applyAlignment="1" applyProtection="1">
      <alignment horizontal="center"/>
      <protection hidden="1"/>
    </xf>
    <xf numFmtId="0" fontId="9" fillId="6" borderId="36" xfId="0" applyFont="1" applyFill="1" applyBorder="1" applyAlignment="1">
      <alignment vertical="center" wrapText="1"/>
    </xf>
    <xf numFmtId="0" fontId="9" fillId="6" borderId="25" xfId="0" applyFont="1" applyFill="1" applyBorder="1" applyAlignment="1">
      <alignment vertical="center" wrapText="1"/>
    </xf>
    <xf numFmtId="0" fontId="0" fillId="0" borderId="31" xfId="0" applyBorder="1" applyAlignment="1">
      <alignment/>
    </xf>
    <xf numFmtId="0" fontId="61" fillId="0" borderId="54" xfId="0" applyFont="1" applyBorder="1" applyAlignment="1" applyProtection="1">
      <alignment horizontal="center" vertical="center" wrapText="1"/>
      <protection locked="0"/>
    </xf>
    <xf numFmtId="0" fontId="61" fillId="0" borderId="55" xfId="0" applyFont="1" applyBorder="1" applyAlignment="1" applyProtection="1">
      <alignment horizontal="center" vertical="center" wrapText="1"/>
      <protection locked="0"/>
    </xf>
    <xf numFmtId="14" fontId="61" fillId="0" borderId="56" xfId="0" applyNumberFormat="1" applyFont="1" applyBorder="1" applyAlignment="1" applyProtection="1">
      <alignment horizontal="center" vertical="center" wrapText="1"/>
      <protection locked="0"/>
    </xf>
    <xf numFmtId="14" fontId="61" fillId="0" borderId="42" xfId="0" applyNumberFormat="1" applyFont="1" applyBorder="1" applyAlignment="1" applyProtection="1">
      <alignment horizontal="center" vertical="center" wrapText="1"/>
      <protection locked="0"/>
    </xf>
    <xf numFmtId="0" fontId="61" fillId="0" borderId="36" xfId="0" applyFont="1" applyBorder="1" applyAlignment="1" applyProtection="1">
      <alignment horizontal="center" vertical="center" wrapText="1"/>
      <protection locked="0"/>
    </xf>
    <xf numFmtId="0" fontId="68" fillId="0" borderId="33" xfId="0" applyFont="1" applyBorder="1" applyAlignment="1" applyProtection="1">
      <alignment horizontal="center" vertical="center"/>
      <protection locked="0"/>
    </xf>
    <xf numFmtId="9" fontId="61" fillId="6" borderId="29" xfId="0" applyNumberFormat="1" applyFont="1" applyFill="1" applyBorder="1" applyAlignment="1" applyProtection="1">
      <alignment horizontal="center" vertical="center" wrapText="1"/>
      <protection hidden="1"/>
    </xf>
    <xf numFmtId="0" fontId="61" fillId="0" borderId="34" xfId="0" applyFont="1" applyBorder="1" applyAlignment="1" applyProtection="1">
      <alignment horizontal="center" vertical="center" wrapText="1"/>
      <protection locked="0"/>
    </xf>
    <xf numFmtId="0" fontId="61" fillId="0" borderId="57" xfId="0" applyFont="1" applyBorder="1" applyAlignment="1" applyProtection="1">
      <alignment horizontal="center" vertical="center" wrapText="1"/>
      <protection locked="0"/>
    </xf>
    <xf numFmtId="0" fontId="61" fillId="0" borderId="33" xfId="0" applyFont="1" applyBorder="1" applyAlignment="1" applyProtection="1">
      <alignment horizontal="center" vertical="center" wrapText="1"/>
      <protection locked="0"/>
    </xf>
    <xf numFmtId="9" fontId="61" fillId="6" borderId="35" xfId="0" applyNumberFormat="1" applyFont="1" applyFill="1" applyBorder="1" applyAlignment="1" applyProtection="1">
      <alignment horizontal="center" vertical="center" wrapText="1"/>
      <protection hidden="1"/>
    </xf>
    <xf numFmtId="0" fontId="61" fillId="0" borderId="58" xfId="0" applyFont="1" applyBorder="1" applyAlignment="1" applyProtection="1">
      <alignment horizontal="center" vertical="center" wrapText="1"/>
      <protection locked="0"/>
    </xf>
    <xf numFmtId="0" fontId="61" fillId="0" borderId="59" xfId="0" applyFont="1" applyBorder="1" applyAlignment="1" applyProtection="1">
      <alignment horizontal="center" vertical="center"/>
      <protection locked="0"/>
    </xf>
    <xf numFmtId="0" fontId="61" fillId="0" borderId="60" xfId="0" applyFont="1" applyBorder="1" applyAlignment="1" applyProtection="1">
      <alignment horizontal="center" vertical="center"/>
      <protection locked="0"/>
    </xf>
    <xf numFmtId="0" fontId="68" fillId="0" borderId="36" xfId="0" applyFont="1" applyBorder="1" applyAlignment="1" applyProtection="1">
      <alignment horizontal="center" vertical="center"/>
      <protection locked="0"/>
    </xf>
    <xf numFmtId="0" fontId="61" fillId="0" borderId="30" xfId="0" applyFont="1" applyBorder="1" applyAlignment="1" applyProtection="1">
      <alignment horizontal="center" vertical="center" wrapText="1"/>
      <protection locked="0"/>
    </xf>
    <xf numFmtId="0" fontId="61" fillId="0" borderId="59" xfId="0" applyFont="1" applyBorder="1" applyAlignment="1" applyProtection="1">
      <alignment horizontal="center" vertical="center" wrapText="1"/>
      <protection locked="0"/>
    </xf>
    <xf numFmtId="0" fontId="61" fillId="0" borderId="60" xfId="0" applyFont="1" applyBorder="1" applyAlignment="1" applyProtection="1">
      <alignment horizontal="center" vertical="center" wrapText="1"/>
      <protection locked="0"/>
    </xf>
    <xf numFmtId="0" fontId="61" fillId="6" borderId="34" xfId="0" applyFont="1" applyFill="1" applyBorder="1" applyAlignment="1" applyProtection="1">
      <alignment horizontal="center" vertical="center"/>
      <protection hidden="1"/>
    </xf>
    <xf numFmtId="9" fontId="61" fillId="6" borderId="35" xfId="0" applyNumberFormat="1" applyFont="1" applyFill="1" applyBorder="1" applyAlignment="1" applyProtection="1">
      <alignment horizontal="center" vertical="center"/>
      <protection hidden="1"/>
    </xf>
    <xf numFmtId="0" fontId="61" fillId="0" borderId="56" xfId="0" applyFont="1" applyBorder="1" applyAlignment="1" applyProtection="1">
      <alignment horizontal="center" vertical="center" wrapText="1"/>
      <protection locked="0"/>
    </xf>
    <xf numFmtId="0" fontId="61" fillId="0" borderId="42" xfId="0" applyFont="1" applyBorder="1" applyAlignment="1" applyProtection="1">
      <alignment horizontal="center" vertical="center" wrapText="1"/>
      <protection locked="0"/>
    </xf>
    <xf numFmtId="0" fontId="61" fillId="0" borderId="28" xfId="0" applyFont="1" applyBorder="1" applyAlignment="1" applyProtection="1">
      <alignment horizontal="center" vertical="center" wrapText="1"/>
      <protection locked="0"/>
    </xf>
    <xf numFmtId="0" fontId="61" fillId="0" borderId="32" xfId="0" applyFont="1" applyBorder="1" applyAlignment="1" applyProtection="1">
      <alignment horizontal="center" vertical="center" wrapText="1"/>
      <protection locked="0"/>
    </xf>
    <xf numFmtId="0" fontId="61" fillId="6" borderId="32" xfId="0" applyFont="1" applyFill="1" applyBorder="1" applyAlignment="1" applyProtection="1">
      <alignment horizontal="center" vertical="center" wrapText="1"/>
      <protection hidden="1"/>
    </xf>
    <xf numFmtId="0" fontId="61" fillId="0" borderId="61" xfId="0" applyFont="1" applyBorder="1" applyAlignment="1" applyProtection="1">
      <alignment horizontal="center" vertical="center" wrapText="1"/>
      <protection locked="0"/>
    </xf>
    <xf numFmtId="0" fontId="61" fillId="0" borderId="44" xfId="0" applyFont="1" applyBorder="1" applyAlignment="1" applyProtection="1">
      <alignment horizontal="center" vertical="center" wrapText="1"/>
      <protection locked="0"/>
    </xf>
    <xf numFmtId="0" fontId="61" fillId="6" borderId="32" xfId="0" applyFont="1" applyFill="1" applyBorder="1" applyAlignment="1" applyProtection="1">
      <alignment horizontal="center" vertical="center"/>
      <protection hidden="1"/>
    </xf>
    <xf numFmtId="9" fontId="61" fillId="6" borderId="32" xfId="0" applyNumberFormat="1" applyFont="1" applyFill="1" applyBorder="1" applyAlignment="1" applyProtection="1">
      <alignment horizontal="center" vertical="center" wrapText="1"/>
      <protection hidden="1"/>
    </xf>
    <xf numFmtId="9" fontId="61" fillId="6" borderId="32" xfId="0" applyNumberFormat="1" applyFont="1" applyFill="1" applyBorder="1" applyAlignment="1" applyProtection="1">
      <alignment horizontal="center" vertical="center"/>
      <protection hidden="1"/>
    </xf>
    <xf numFmtId="0" fontId="61" fillId="6" borderId="28" xfId="0" applyFont="1" applyFill="1" applyBorder="1" applyAlignment="1" applyProtection="1">
      <alignment horizontal="center" vertical="center"/>
      <protection hidden="1"/>
    </xf>
    <xf numFmtId="0" fontId="64" fillId="0" borderId="44" xfId="0" applyFont="1" applyBorder="1" applyAlignment="1" applyProtection="1">
      <alignment horizontal="center" vertical="center"/>
      <protection locked="0"/>
    </xf>
    <xf numFmtId="0" fontId="61" fillId="0" borderId="32" xfId="0" applyFont="1" applyBorder="1" applyAlignment="1" applyProtection="1">
      <alignment horizontal="justify" vertical="center"/>
      <protection locked="0"/>
    </xf>
    <xf numFmtId="9" fontId="61" fillId="6" borderId="28" xfId="0" applyNumberFormat="1" applyFont="1" applyFill="1" applyBorder="1" applyAlignment="1" applyProtection="1">
      <alignment horizontal="center" vertical="center" wrapText="1"/>
      <protection hidden="1"/>
    </xf>
    <xf numFmtId="0" fontId="61" fillId="6" borderId="62" xfId="0" applyFont="1" applyFill="1" applyBorder="1" applyAlignment="1" applyProtection="1">
      <alignment horizontal="center" vertical="center"/>
      <protection hidden="1"/>
    </xf>
    <xf numFmtId="164" fontId="61" fillId="6" borderId="32" xfId="53" applyNumberFormat="1" applyFont="1" applyFill="1" applyBorder="1" applyAlignment="1" applyProtection="1">
      <alignment horizontal="center" vertical="center" wrapText="1"/>
      <protection hidden="1"/>
    </xf>
    <xf numFmtId="0" fontId="61" fillId="0" borderId="28" xfId="0" applyFont="1" applyBorder="1" applyAlignment="1" applyProtection="1">
      <alignment horizontal="center" vertical="center"/>
      <protection locked="0"/>
    </xf>
    <xf numFmtId="14" fontId="61" fillId="0" borderId="32" xfId="0" applyNumberFormat="1" applyFont="1" applyBorder="1" applyAlignment="1" applyProtection="1">
      <alignment horizontal="center" vertical="center" wrapText="1"/>
      <protection locked="0"/>
    </xf>
    <xf numFmtId="9" fontId="61" fillId="6" borderId="29" xfId="0" applyNumberFormat="1" applyFont="1" applyFill="1" applyBorder="1" applyAlignment="1" applyProtection="1">
      <alignment horizontal="center" vertical="center"/>
      <protection hidden="1"/>
    </xf>
    <xf numFmtId="0" fontId="61" fillId="6" borderId="30" xfId="0" applyFont="1" applyFill="1" applyBorder="1" applyAlignment="1" applyProtection="1">
      <alignment horizontal="center" vertical="center"/>
      <protection hidden="1"/>
    </xf>
    <xf numFmtId="0" fontId="61" fillId="0" borderId="13" xfId="0" applyFont="1" applyBorder="1" applyAlignment="1" applyProtection="1">
      <alignment horizontal="justify" vertical="center" wrapText="1"/>
      <protection locked="0"/>
    </xf>
    <xf numFmtId="0" fontId="61" fillId="0" borderId="35" xfId="0" applyFont="1" applyBorder="1" applyAlignment="1" applyProtection="1">
      <alignment horizontal="justify" vertical="center" wrapText="1"/>
      <protection locked="0"/>
    </xf>
    <xf numFmtId="0" fontId="0" fillId="0" borderId="63" xfId="0" applyBorder="1" applyAlignment="1">
      <alignment/>
    </xf>
    <xf numFmtId="0" fontId="0" fillId="0" borderId="31" xfId="0" applyBorder="1" applyAlignment="1">
      <alignment wrapText="1"/>
    </xf>
    <xf numFmtId="0" fontId="64" fillId="6" borderId="35" xfId="0" applyFont="1" applyFill="1" applyBorder="1" applyAlignment="1">
      <alignment horizontal="center" vertical="center" textRotation="90" wrapText="1"/>
    </xf>
    <xf numFmtId="0" fontId="64" fillId="6" borderId="37" xfId="0" applyFont="1" applyFill="1" applyBorder="1" applyAlignment="1">
      <alignment horizontal="center" vertical="center" textRotation="90" wrapText="1"/>
    </xf>
    <xf numFmtId="0" fontId="61" fillId="0" borderId="59" xfId="0" applyFont="1" applyBorder="1" applyAlignment="1" applyProtection="1">
      <alignment horizontal="center" vertical="center" wrapText="1"/>
      <protection locked="0"/>
    </xf>
    <xf numFmtId="0" fontId="61" fillId="0" borderId="60" xfId="0" applyFont="1" applyBorder="1" applyAlignment="1" applyProtection="1">
      <alignment horizontal="center" vertical="center" wrapText="1"/>
      <protection locked="0"/>
    </xf>
    <xf numFmtId="0" fontId="65" fillId="23" borderId="44" xfId="0" applyFont="1" applyFill="1" applyBorder="1" applyAlignment="1">
      <alignment horizontal="center" vertical="center"/>
    </xf>
    <xf numFmtId="0" fontId="65" fillId="23" borderId="32" xfId="0" applyFont="1" applyFill="1" applyBorder="1" applyAlignment="1">
      <alignment horizontal="center" vertical="center"/>
    </xf>
    <xf numFmtId="0" fontId="65" fillId="23" borderId="28" xfId="0" applyFont="1" applyFill="1" applyBorder="1" applyAlignment="1">
      <alignment horizontal="center" vertical="center"/>
    </xf>
    <xf numFmtId="0" fontId="64" fillId="44" borderId="35" xfId="0" applyFont="1" applyFill="1" applyBorder="1" applyAlignment="1">
      <alignment horizontal="center" vertical="center" wrapText="1"/>
    </xf>
    <xf numFmtId="0" fontId="64" fillId="44" borderId="37" xfId="0" applyFont="1" applyFill="1" applyBorder="1" applyAlignment="1">
      <alignment horizontal="center" vertical="center" wrapText="1"/>
    </xf>
    <xf numFmtId="0" fontId="64" fillId="44" borderId="34" xfId="0" applyFont="1" applyFill="1" applyBorder="1" applyAlignment="1">
      <alignment horizontal="center" vertical="center" wrapText="1"/>
    </xf>
    <xf numFmtId="0" fontId="64" fillId="44" borderId="38" xfId="0" applyFont="1" applyFill="1" applyBorder="1" applyAlignment="1">
      <alignment horizontal="center" vertical="center" wrapText="1"/>
    </xf>
    <xf numFmtId="0" fontId="64" fillId="44" borderId="33" xfId="0" applyFont="1" applyFill="1" applyBorder="1" applyAlignment="1">
      <alignment horizontal="center" vertical="center" wrapText="1"/>
    </xf>
    <xf numFmtId="0" fontId="64" fillId="44" borderId="64" xfId="0" applyFont="1" applyFill="1" applyBorder="1" applyAlignment="1">
      <alignment horizontal="center" vertical="center" wrapText="1"/>
    </xf>
    <xf numFmtId="0" fontId="61" fillId="0" borderId="54" xfId="0" applyFont="1" applyBorder="1" applyAlignment="1" applyProtection="1">
      <alignment horizontal="center" vertical="center" wrapText="1"/>
      <protection locked="0"/>
    </xf>
    <xf numFmtId="0" fontId="61" fillId="0" borderId="55" xfId="0" applyFont="1" applyBorder="1" applyAlignment="1" applyProtection="1">
      <alignment horizontal="center" vertical="center" wrapText="1"/>
      <protection locked="0"/>
    </xf>
    <xf numFmtId="14" fontId="61" fillId="0" borderId="56" xfId="0" applyNumberFormat="1" applyFont="1" applyBorder="1" applyAlignment="1" applyProtection="1">
      <alignment horizontal="center" vertical="center" wrapText="1"/>
      <protection locked="0"/>
    </xf>
    <xf numFmtId="14" fontId="61" fillId="0" borderId="42" xfId="0" applyNumberFormat="1" applyFont="1" applyBorder="1" applyAlignment="1" applyProtection="1">
      <alignment horizontal="center" vertical="center" wrapText="1"/>
      <protection locked="0"/>
    </xf>
    <xf numFmtId="0" fontId="65" fillId="23" borderId="65" xfId="0" applyFont="1" applyFill="1" applyBorder="1" applyAlignment="1">
      <alignment horizontal="center" vertical="center"/>
    </xf>
    <xf numFmtId="0" fontId="65" fillId="23" borderId="66" xfId="0" applyFont="1" applyFill="1" applyBorder="1" applyAlignment="1">
      <alignment horizontal="center" vertical="center"/>
    </xf>
    <xf numFmtId="0" fontId="65" fillId="23" borderId="67" xfId="0" applyFont="1" applyFill="1" applyBorder="1" applyAlignment="1">
      <alignment horizontal="center" vertical="center"/>
    </xf>
    <xf numFmtId="0" fontId="65" fillId="23" borderId="62" xfId="0" applyFont="1" applyFill="1" applyBorder="1" applyAlignment="1">
      <alignment horizontal="center" vertical="center"/>
    </xf>
    <xf numFmtId="0" fontId="64" fillId="6" borderId="34" xfId="0" applyFont="1" applyFill="1" applyBorder="1" applyAlignment="1">
      <alignment horizontal="center" vertical="center" textRotation="90" wrapText="1"/>
    </xf>
    <xf numFmtId="0" fontId="64" fillId="6" borderId="38" xfId="0" applyFont="1" applyFill="1" applyBorder="1" applyAlignment="1">
      <alignment horizontal="center" vertical="center" textRotation="90" wrapText="1"/>
    </xf>
    <xf numFmtId="0" fontId="61" fillId="6" borderId="34" xfId="0" applyFont="1" applyFill="1" applyBorder="1" applyAlignment="1" applyProtection="1">
      <alignment horizontal="center" vertical="center"/>
      <protection hidden="1"/>
    </xf>
    <xf numFmtId="0" fontId="61" fillId="6" borderId="22" xfId="0" applyFont="1" applyFill="1" applyBorder="1" applyAlignment="1" applyProtection="1">
      <alignment horizontal="center" vertical="center"/>
      <protection hidden="1"/>
    </xf>
    <xf numFmtId="9" fontId="61" fillId="6" borderId="35" xfId="0" applyNumberFormat="1" applyFont="1" applyFill="1" applyBorder="1" applyAlignment="1" applyProtection="1">
      <alignment horizontal="center" vertical="center" wrapText="1"/>
      <protection hidden="1"/>
    </xf>
    <xf numFmtId="9" fontId="61" fillId="6" borderId="13" xfId="0" applyNumberFormat="1" applyFont="1" applyFill="1" applyBorder="1" applyAlignment="1" applyProtection="1">
      <alignment horizontal="center" vertical="center" wrapText="1"/>
      <protection hidden="1"/>
    </xf>
    <xf numFmtId="9" fontId="61" fillId="6" borderId="35" xfId="0" applyNumberFormat="1" applyFont="1" applyFill="1" applyBorder="1" applyAlignment="1" applyProtection="1">
      <alignment horizontal="center" vertical="center"/>
      <protection hidden="1"/>
    </xf>
    <xf numFmtId="9" fontId="61" fillId="6" borderId="13" xfId="0" applyNumberFormat="1" applyFont="1" applyFill="1" applyBorder="1" applyAlignment="1" applyProtection="1">
      <alignment horizontal="center" vertical="center"/>
      <protection hidden="1"/>
    </xf>
    <xf numFmtId="0" fontId="64" fillId="44" borderId="34" xfId="0" applyFont="1" applyFill="1" applyBorder="1" applyAlignment="1">
      <alignment horizontal="center" vertical="center" textRotation="90" wrapText="1"/>
    </xf>
    <xf numFmtId="0" fontId="64" fillId="44" borderId="38" xfId="0" applyFont="1" applyFill="1" applyBorder="1" applyAlignment="1">
      <alignment horizontal="center" vertical="center" textRotation="90" wrapText="1"/>
    </xf>
    <xf numFmtId="0" fontId="64" fillId="44" borderId="33" xfId="0" applyFont="1" applyFill="1" applyBorder="1" applyAlignment="1">
      <alignment horizontal="center" vertical="center" textRotation="90" wrapText="1"/>
    </xf>
    <xf numFmtId="0" fontId="64" fillId="44" borderId="64" xfId="0" applyFont="1" applyFill="1" applyBorder="1" applyAlignment="1">
      <alignment horizontal="center" vertical="center" textRotation="90" wrapText="1"/>
    </xf>
    <xf numFmtId="0" fontId="64" fillId="6" borderId="35" xfId="0" applyFont="1" applyFill="1" applyBorder="1" applyAlignment="1">
      <alignment horizontal="center" vertical="center" wrapText="1"/>
    </xf>
    <xf numFmtId="0" fontId="64" fillId="6" borderId="37" xfId="0" applyFont="1" applyFill="1" applyBorder="1" applyAlignment="1">
      <alignment horizontal="center" vertical="center" wrapText="1"/>
    </xf>
    <xf numFmtId="0" fontId="64" fillId="6" borderId="39" xfId="0" applyFont="1" applyFill="1" applyBorder="1" applyAlignment="1">
      <alignment horizontal="center" vertical="center" textRotation="90" wrapText="1"/>
    </xf>
    <xf numFmtId="0" fontId="64" fillId="6" borderId="68" xfId="0" applyFont="1" applyFill="1" applyBorder="1" applyAlignment="1">
      <alignment horizontal="center" vertical="center" textRotation="90" wrapText="1"/>
    </xf>
    <xf numFmtId="0" fontId="68" fillId="0" borderId="33" xfId="0" applyFont="1" applyBorder="1" applyAlignment="1" applyProtection="1">
      <alignment horizontal="center" vertical="center"/>
      <protection locked="0"/>
    </xf>
    <xf numFmtId="0" fontId="68" fillId="0" borderId="25" xfId="0" applyFont="1" applyBorder="1" applyAlignment="1" applyProtection="1">
      <alignment horizontal="center" vertical="center"/>
      <protection locked="0"/>
    </xf>
    <xf numFmtId="0" fontId="61" fillId="0" borderId="35" xfId="0" applyFont="1" applyBorder="1" applyAlignment="1" applyProtection="1">
      <alignment horizontal="center" vertical="center" wrapText="1"/>
      <protection locked="0"/>
    </xf>
    <xf numFmtId="0" fontId="61" fillId="0" borderId="13" xfId="0" applyFont="1" applyBorder="1" applyAlignment="1" applyProtection="1">
      <alignment horizontal="center" vertical="center" wrapText="1"/>
      <protection locked="0"/>
    </xf>
    <xf numFmtId="0" fontId="61" fillId="6" borderId="35" xfId="0" applyFont="1" applyFill="1" applyBorder="1" applyAlignment="1" applyProtection="1">
      <alignment horizontal="center" vertical="center"/>
      <protection hidden="1"/>
    </xf>
    <xf numFmtId="0" fontId="61" fillId="6" borderId="13" xfId="0" applyFont="1" applyFill="1" applyBorder="1" applyAlignment="1" applyProtection="1">
      <alignment horizontal="center" vertical="center"/>
      <protection hidden="1"/>
    </xf>
    <xf numFmtId="0" fontId="61" fillId="6" borderId="35" xfId="0" applyFont="1" applyFill="1" applyBorder="1" applyAlignment="1" applyProtection="1">
      <alignment horizontal="center" vertical="center" wrapText="1"/>
      <protection hidden="1"/>
    </xf>
    <xf numFmtId="0" fontId="61" fillId="6" borderId="13" xfId="0" applyFont="1" applyFill="1" applyBorder="1" applyAlignment="1" applyProtection="1">
      <alignment horizontal="center" vertical="center" wrapText="1"/>
      <protection hidden="1"/>
    </xf>
    <xf numFmtId="0" fontId="61" fillId="0" borderId="56" xfId="0" applyFont="1" applyBorder="1" applyAlignment="1" applyProtection="1">
      <alignment horizontal="center" vertical="center" wrapText="1"/>
      <protection locked="0"/>
    </xf>
    <xf numFmtId="0" fontId="61" fillId="0" borderId="42" xfId="0" applyFont="1" applyBorder="1" applyAlignment="1" applyProtection="1">
      <alignment horizontal="center" vertical="center" wrapText="1"/>
      <protection locked="0"/>
    </xf>
    <xf numFmtId="0" fontId="61" fillId="0" borderId="57" xfId="0" applyFont="1" applyBorder="1" applyAlignment="1" applyProtection="1">
      <alignment horizontal="center" vertical="center" wrapText="1"/>
      <protection locked="0"/>
    </xf>
    <xf numFmtId="0" fontId="61" fillId="0" borderId="69" xfId="0" applyFont="1" applyBorder="1" applyAlignment="1" applyProtection="1">
      <alignment horizontal="center" vertical="center" wrapText="1"/>
      <protection locked="0"/>
    </xf>
    <xf numFmtId="0" fontId="61" fillId="0" borderId="33" xfId="0" applyFont="1" applyBorder="1" applyAlignment="1" applyProtection="1">
      <alignment horizontal="center" vertical="center" wrapText="1"/>
      <protection locked="0"/>
    </xf>
    <xf numFmtId="0" fontId="61" fillId="0" borderId="25" xfId="0" applyFont="1" applyBorder="1" applyAlignment="1" applyProtection="1">
      <alignment horizontal="center" vertical="center" wrapText="1"/>
      <protection locked="0"/>
    </xf>
    <xf numFmtId="0" fontId="61" fillId="0" borderId="34" xfId="0" applyFont="1" applyBorder="1" applyAlignment="1" applyProtection="1">
      <alignment horizontal="center" vertical="center" wrapText="1"/>
      <protection locked="0"/>
    </xf>
    <xf numFmtId="0" fontId="61" fillId="0" borderId="22" xfId="0" applyFont="1" applyBorder="1" applyAlignment="1" applyProtection="1">
      <alignment horizontal="center" vertical="center" wrapText="1"/>
      <protection locked="0"/>
    </xf>
    <xf numFmtId="0" fontId="61" fillId="0" borderId="69" xfId="0" applyFont="1" applyBorder="1" applyAlignment="1">
      <alignment horizontal="center" vertical="center" wrapText="1"/>
    </xf>
    <xf numFmtId="0" fontId="61" fillId="0" borderId="70" xfId="0" applyFont="1" applyBorder="1" applyAlignment="1">
      <alignment horizontal="center" vertical="center" wrapText="1"/>
    </xf>
    <xf numFmtId="0" fontId="69" fillId="0" borderId="69" xfId="0" applyFont="1" applyBorder="1" applyAlignment="1" applyProtection="1">
      <alignment horizontal="left" vertical="center" wrapText="1"/>
      <protection locked="0"/>
    </xf>
    <xf numFmtId="0" fontId="69" fillId="0" borderId="70" xfId="0" applyFont="1" applyBorder="1" applyAlignment="1" applyProtection="1">
      <alignment horizontal="left" vertical="center" wrapText="1"/>
      <protection locked="0"/>
    </xf>
    <xf numFmtId="0" fontId="69" fillId="0" borderId="40" xfId="0" applyFont="1" applyBorder="1" applyAlignment="1" applyProtection="1">
      <alignment horizontal="left" vertical="center" wrapText="1"/>
      <protection locked="0"/>
    </xf>
    <xf numFmtId="0" fontId="61" fillId="0" borderId="37" xfId="0" applyFont="1" applyBorder="1" applyAlignment="1">
      <alignment horizontal="center" vertical="center" wrapText="1"/>
    </xf>
    <xf numFmtId="0" fontId="61" fillId="0" borderId="42" xfId="0" applyFont="1" applyBorder="1" applyAlignment="1">
      <alignment horizontal="center" vertical="center" wrapText="1"/>
    </xf>
    <xf numFmtId="0" fontId="61" fillId="0" borderId="29" xfId="0" applyFont="1" applyBorder="1" applyAlignment="1">
      <alignment horizontal="center" vertical="center" wrapText="1"/>
    </xf>
    <xf numFmtId="0" fontId="0" fillId="0" borderId="71" xfId="0" applyBorder="1" applyAlignment="1">
      <alignment horizontal="center" vertical="center"/>
    </xf>
    <xf numFmtId="0" fontId="0" fillId="0" borderId="68" xfId="0" applyBorder="1" applyAlignment="1">
      <alignment horizontal="center" vertical="center"/>
    </xf>
    <xf numFmtId="0" fontId="0" fillId="0" borderId="0" xfId="0"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43" xfId="0" applyBorder="1" applyAlignment="1">
      <alignment horizontal="center" vertical="center"/>
    </xf>
    <xf numFmtId="0" fontId="64" fillId="44" borderId="56" xfId="0" applyFont="1" applyFill="1" applyBorder="1" applyAlignment="1">
      <alignment horizontal="center" vertical="center" wrapText="1"/>
    </xf>
    <xf numFmtId="0" fontId="64" fillId="44" borderId="42" xfId="0" applyFont="1" applyFill="1" applyBorder="1" applyAlignment="1">
      <alignment horizontal="center" vertical="center" wrapText="1"/>
    </xf>
    <xf numFmtId="0" fontId="61" fillId="0" borderId="40" xfId="0" applyFont="1" applyBorder="1" applyAlignment="1">
      <alignment horizontal="center" vertical="center" wrapText="1"/>
    </xf>
    <xf numFmtId="0" fontId="61" fillId="0" borderId="59" xfId="0" applyFont="1" applyBorder="1" applyAlignment="1" applyProtection="1">
      <alignment horizontal="center" vertical="center"/>
      <protection locked="0"/>
    </xf>
    <xf numFmtId="0" fontId="61" fillId="0" borderId="60" xfId="0" applyFont="1" applyBorder="1" applyAlignment="1" applyProtection="1">
      <alignment horizontal="center" vertical="center"/>
      <protection locked="0"/>
    </xf>
    <xf numFmtId="0" fontId="64" fillId="44" borderId="57" xfId="0" applyFont="1" applyFill="1" applyBorder="1" applyAlignment="1">
      <alignment horizontal="center" vertical="center" wrapText="1"/>
    </xf>
    <xf numFmtId="0" fontId="64" fillId="44" borderId="39" xfId="0" applyFont="1" applyFill="1" applyBorder="1" applyAlignment="1">
      <alignment horizontal="center" vertical="center" wrapText="1"/>
    </xf>
    <xf numFmtId="0" fontId="64" fillId="44" borderId="27" xfId="0" applyFont="1" applyFill="1" applyBorder="1" applyAlignment="1">
      <alignment horizontal="center" vertical="center" wrapText="1"/>
    </xf>
    <xf numFmtId="0" fontId="64" fillId="44" borderId="74" xfId="0" applyFont="1" applyFill="1" applyBorder="1" applyAlignment="1">
      <alignment horizontal="center" vertical="center" wrapText="1"/>
    </xf>
    <xf numFmtId="0" fontId="61" fillId="0" borderId="29" xfId="0" applyFont="1" applyBorder="1" applyAlignment="1" applyProtection="1">
      <alignment horizontal="center" vertical="center" wrapText="1"/>
      <protection locked="0"/>
    </xf>
    <xf numFmtId="0" fontId="61" fillId="0" borderId="23" xfId="0" applyFont="1" applyBorder="1" applyAlignment="1" applyProtection="1">
      <alignment horizontal="center" vertical="center" wrapText="1"/>
      <protection locked="0"/>
    </xf>
    <xf numFmtId="9" fontId="61" fillId="6" borderId="23" xfId="0" applyNumberFormat="1" applyFont="1" applyFill="1" applyBorder="1" applyAlignment="1" applyProtection="1">
      <alignment horizontal="center" vertical="center" wrapText="1"/>
      <protection hidden="1"/>
    </xf>
    <xf numFmtId="14" fontId="61" fillId="0" borderId="75" xfId="0" applyNumberFormat="1" applyFont="1" applyBorder="1" applyAlignment="1" applyProtection="1">
      <alignment horizontal="center" vertical="center" wrapText="1"/>
      <protection locked="0"/>
    </xf>
    <xf numFmtId="0" fontId="61" fillId="0" borderId="76" xfId="0" applyFont="1" applyBorder="1" applyAlignment="1" applyProtection="1">
      <alignment horizontal="center" vertical="center" wrapText="1"/>
      <protection locked="0"/>
    </xf>
    <xf numFmtId="0" fontId="68" fillId="0" borderId="26" xfId="0" applyFont="1" applyBorder="1" applyAlignment="1" applyProtection="1">
      <alignment horizontal="center" vertical="center"/>
      <protection locked="0"/>
    </xf>
    <xf numFmtId="0" fontId="61" fillId="6" borderId="23" xfId="0" applyFont="1" applyFill="1" applyBorder="1" applyAlignment="1" applyProtection="1">
      <alignment horizontal="center" vertical="center" wrapText="1"/>
      <protection hidden="1"/>
    </xf>
    <xf numFmtId="0" fontId="61" fillId="6" borderId="27" xfId="0" applyFont="1" applyFill="1" applyBorder="1" applyAlignment="1" applyProtection="1">
      <alignment horizontal="center" vertical="center"/>
      <protection hidden="1"/>
    </xf>
    <xf numFmtId="0" fontId="61" fillId="0" borderId="76" xfId="0" applyFont="1" applyBorder="1" applyAlignment="1" applyProtection="1">
      <alignment horizontal="center" vertical="center"/>
      <protection locked="0"/>
    </xf>
    <xf numFmtId="0" fontId="61" fillId="0" borderId="77" xfId="0" applyFont="1" applyBorder="1" applyAlignment="1" applyProtection="1">
      <alignment horizontal="center" vertical="center" wrapText="1"/>
      <protection locked="0"/>
    </xf>
    <xf numFmtId="0" fontId="61" fillId="0" borderId="75" xfId="0" applyFont="1" applyBorder="1" applyAlignment="1" applyProtection="1">
      <alignment horizontal="center" vertical="center" wrapText="1"/>
      <protection locked="0"/>
    </xf>
    <xf numFmtId="0" fontId="61" fillId="0" borderId="78" xfId="0" applyFont="1" applyBorder="1" applyAlignment="1" applyProtection="1">
      <alignment horizontal="center" vertical="center" wrapText="1"/>
      <protection locked="0"/>
    </xf>
    <xf numFmtId="0" fontId="61" fillId="0" borderId="27" xfId="0" applyFont="1" applyBorder="1" applyAlignment="1" applyProtection="1">
      <alignment horizontal="center" vertical="center" wrapText="1"/>
      <protection locked="0"/>
    </xf>
    <xf numFmtId="0" fontId="61" fillId="0" borderId="26" xfId="0" applyFont="1" applyBorder="1" applyAlignment="1" applyProtection="1">
      <alignment horizontal="center" vertical="center" wrapText="1"/>
      <protection locked="0"/>
    </xf>
    <xf numFmtId="0" fontId="61" fillId="6" borderId="23" xfId="0" applyFont="1" applyFill="1" applyBorder="1" applyAlignment="1" applyProtection="1">
      <alignment horizontal="center" vertical="center"/>
      <protection hidden="1"/>
    </xf>
    <xf numFmtId="9" fontId="61" fillId="6" borderId="23" xfId="0" applyNumberFormat="1" applyFont="1" applyFill="1" applyBorder="1" applyAlignment="1" applyProtection="1">
      <alignment horizontal="center" vertical="center"/>
      <protection hidden="1"/>
    </xf>
    <xf numFmtId="0" fontId="57" fillId="0" borderId="13" xfId="0" applyFont="1" applyBorder="1" applyAlignment="1" applyProtection="1">
      <alignment horizontal="center" vertical="center" wrapText="1"/>
      <protection locked="0"/>
    </xf>
    <xf numFmtId="49" fontId="57" fillId="0" borderId="13" xfId="0" applyNumberFormat="1"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65" fillId="23" borderId="13" xfId="0" applyFont="1" applyFill="1" applyBorder="1" applyAlignment="1" applyProtection="1">
      <alignment horizontal="center" vertical="center"/>
      <protection locked="0"/>
    </xf>
    <xf numFmtId="0" fontId="66" fillId="0" borderId="13" xfId="0" applyFont="1" applyBorder="1" applyAlignment="1" applyProtection="1">
      <alignment horizontal="left"/>
      <protection locked="0"/>
    </xf>
    <xf numFmtId="14" fontId="57" fillId="0" borderId="13" xfId="0" applyNumberFormat="1" applyFont="1" applyBorder="1" applyAlignment="1" applyProtection="1">
      <alignment horizontal="center" vertical="center"/>
      <protection locked="0"/>
    </xf>
    <xf numFmtId="0" fontId="57" fillId="0" borderId="13" xfId="0" applyFont="1" applyBorder="1" applyAlignment="1" applyProtection="1">
      <alignment horizontal="center" vertical="center"/>
      <protection locked="0"/>
    </xf>
    <xf numFmtId="0" fontId="0" fillId="0" borderId="13" xfId="0" applyBorder="1" applyAlignment="1">
      <alignment horizontal="center" vertical="center"/>
    </xf>
    <xf numFmtId="0" fontId="69" fillId="0" borderId="13" xfId="0" applyFont="1" applyBorder="1" applyAlignment="1" applyProtection="1">
      <alignment horizontal="left" vertical="center"/>
      <protection locked="0"/>
    </xf>
    <xf numFmtId="0" fontId="70" fillId="23" borderId="65" xfId="0" applyFont="1" applyFill="1" applyBorder="1" applyAlignment="1">
      <alignment horizontal="center" vertical="center"/>
    </xf>
    <xf numFmtId="0" fontId="70" fillId="23" borderId="66" xfId="0" applyFont="1" applyFill="1" applyBorder="1" applyAlignment="1">
      <alignment horizontal="center" vertical="center"/>
    </xf>
    <xf numFmtId="0" fontId="61" fillId="0" borderId="13" xfId="0" applyFont="1" applyBorder="1" applyAlignment="1">
      <alignment horizontal="center" vertical="center" wrapText="1"/>
    </xf>
    <xf numFmtId="0" fontId="61" fillId="0" borderId="13" xfId="0" applyFont="1" applyBorder="1" applyAlignment="1" applyProtection="1">
      <alignment horizontal="center" vertical="center"/>
      <protection locked="0"/>
    </xf>
    <xf numFmtId="0" fontId="69" fillId="0" borderId="13" xfId="0" applyFont="1" applyBorder="1" applyAlignment="1">
      <alignment horizontal="center" vertical="center" wrapText="1"/>
    </xf>
    <xf numFmtId="0" fontId="12" fillId="6" borderId="44" xfId="0" applyFont="1" applyFill="1" applyBorder="1" applyAlignment="1">
      <alignment horizontal="left" vertical="center" wrapText="1"/>
    </xf>
    <xf numFmtId="0" fontId="12" fillId="6" borderId="32" xfId="0" applyFont="1" applyFill="1" applyBorder="1" applyAlignment="1">
      <alignment horizontal="left" vertical="center" wrapText="1"/>
    </xf>
    <xf numFmtId="0" fontId="12" fillId="6" borderId="28" xfId="0" applyFont="1" applyFill="1" applyBorder="1" applyAlignment="1">
      <alignment horizontal="left" vertical="center" wrapText="1"/>
    </xf>
    <xf numFmtId="0" fontId="13" fillId="6" borderId="58" xfId="0" applyFont="1" applyFill="1" applyBorder="1" applyAlignment="1">
      <alignment horizontal="left" vertical="center" wrapText="1"/>
    </xf>
    <xf numFmtId="0" fontId="13" fillId="6" borderId="73" xfId="0" applyFont="1" applyFill="1" applyBorder="1" applyAlignment="1">
      <alignment horizontal="left" vertical="center" wrapText="1"/>
    </xf>
    <xf numFmtId="0" fontId="13" fillId="6" borderId="79" xfId="0" applyFont="1" applyFill="1" applyBorder="1" applyAlignment="1">
      <alignment horizontal="left" vertical="center" wrapText="1"/>
    </xf>
    <xf numFmtId="0" fontId="13" fillId="6" borderId="69" xfId="0" applyFont="1" applyFill="1" applyBorder="1" applyAlignment="1">
      <alignment horizontal="left" vertical="center" wrapText="1"/>
    </xf>
    <xf numFmtId="0" fontId="13" fillId="6" borderId="70" xfId="0" applyFont="1" applyFill="1" applyBorder="1" applyAlignment="1">
      <alignment horizontal="left" vertical="center" wrapText="1"/>
    </xf>
    <xf numFmtId="0" fontId="13" fillId="6" borderId="52" xfId="0" applyFont="1" applyFill="1" applyBorder="1" applyAlignment="1">
      <alignment horizontal="left" vertical="center" wrapText="1"/>
    </xf>
    <xf numFmtId="0" fontId="67" fillId="23" borderId="65" xfId="0" applyFont="1" applyFill="1" applyBorder="1" applyAlignment="1">
      <alignment horizontal="center" vertical="center"/>
    </xf>
    <xf numFmtId="0" fontId="67" fillId="23" borderId="66" xfId="0" applyFont="1" applyFill="1" applyBorder="1" applyAlignment="1">
      <alignment horizontal="center" vertical="center"/>
    </xf>
    <xf numFmtId="0" fontId="8" fillId="6" borderId="80" xfId="0" applyFont="1" applyFill="1" applyBorder="1" applyAlignment="1">
      <alignment horizontal="right" vertical="center"/>
    </xf>
    <xf numFmtId="0" fontId="8" fillId="6" borderId="81" xfId="0" applyFont="1" applyFill="1" applyBorder="1" applyAlignment="1">
      <alignment horizontal="right" vertical="center"/>
    </xf>
    <xf numFmtId="0" fontId="8" fillId="6" borderId="82" xfId="0" applyFont="1" applyFill="1" applyBorder="1" applyAlignment="1">
      <alignment horizontal="right" vertical="center"/>
    </xf>
    <xf numFmtId="0" fontId="8" fillId="6" borderId="83" xfId="0" applyFont="1" applyFill="1" applyBorder="1" applyAlignment="1">
      <alignment horizontal="right" vertical="center"/>
    </xf>
    <xf numFmtId="0" fontId="71" fillId="46" borderId="82" xfId="0" applyFont="1" applyFill="1" applyBorder="1" applyAlignment="1">
      <alignment horizontal="right" vertical="center"/>
    </xf>
    <xf numFmtId="0" fontId="71" fillId="46" borderId="83" xfId="0" applyFont="1" applyFill="1" applyBorder="1" applyAlignment="1">
      <alignment horizontal="right" vertical="center"/>
    </xf>
    <xf numFmtId="0" fontId="48" fillId="23" borderId="13" xfId="39" applyBorder="1" applyAlignment="1">
      <alignment horizontal="center"/>
    </xf>
    <xf numFmtId="0" fontId="57" fillId="47" borderId="84" xfId="0" applyFont="1" applyFill="1" applyBorder="1" applyAlignment="1">
      <alignment horizontal="center" vertical="center"/>
    </xf>
    <xf numFmtId="0" fontId="57" fillId="47" borderId="85" xfId="0" applyFont="1" applyFill="1" applyBorder="1" applyAlignment="1">
      <alignment horizontal="center" vertical="center"/>
    </xf>
    <xf numFmtId="0" fontId="57" fillId="47" borderId="86" xfId="0" applyFont="1" applyFill="1" applyBorder="1" applyAlignment="1">
      <alignment horizontal="center" vertical="center"/>
    </xf>
    <xf numFmtId="0" fontId="60" fillId="43" borderId="58" xfId="0" applyFont="1" applyFill="1" applyBorder="1" applyAlignment="1">
      <alignment horizontal="center" vertical="center" wrapText="1" readingOrder="1"/>
    </xf>
    <xf numFmtId="0" fontId="60" fillId="43" borderId="73" xfId="0" applyFont="1" applyFill="1" applyBorder="1" applyAlignment="1">
      <alignment horizontal="center" vertical="center" wrapText="1" readingOrder="1"/>
    </xf>
    <xf numFmtId="0" fontId="72" fillId="7" borderId="65" xfId="0" applyFont="1" applyFill="1" applyBorder="1" applyAlignment="1">
      <alignment horizontal="center" vertical="center" wrapText="1" readingOrder="1"/>
    </xf>
    <xf numFmtId="0" fontId="72" fillId="7" borderId="66" xfId="0" applyFont="1" applyFill="1" applyBorder="1" applyAlignment="1">
      <alignment horizontal="center" vertical="center" wrapText="1" readingOrder="1"/>
    </xf>
    <xf numFmtId="0" fontId="72" fillId="7" borderId="67" xfId="0" applyFont="1" applyFill="1" applyBorder="1" applyAlignment="1">
      <alignment horizontal="center" vertical="center" wrapText="1" readingOrder="1"/>
    </xf>
    <xf numFmtId="0" fontId="62" fillId="7" borderId="44" xfId="0" applyFont="1" applyFill="1" applyBorder="1" applyAlignment="1">
      <alignment horizontal="center" vertical="center" wrapText="1" readingOrder="1"/>
    </xf>
    <xf numFmtId="0" fontId="62" fillId="7" borderId="32" xfId="0" applyFont="1" applyFill="1" applyBorder="1" applyAlignment="1">
      <alignment horizontal="center" vertical="center" wrapText="1" readingOrder="1"/>
    </xf>
    <xf numFmtId="0" fontId="62" fillId="34" borderId="36" xfId="0" applyFont="1" applyFill="1" applyBorder="1" applyAlignment="1">
      <alignment horizontal="center" vertical="center" wrapText="1" readingOrder="1"/>
    </xf>
    <xf numFmtId="0" fontId="62" fillId="34" borderId="25" xfId="0" applyFont="1" applyFill="1" applyBorder="1" applyAlignment="1">
      <alignment horizontal="center" vertical="center" wrapText="1" readingOrder="1"/>
    </xf>
    <xf numFmtId="0" fontId="62" fillId="34" borderId="29" xfId="0" applyFont="1" applyFill="1" applyBorder="1" applyAlignment="1">
      <alignment horizontal="center" vertical="center" wrapText="1" readingOrder="1"/>
    </xf>
    <xf numFmtId="0" fontId="62" fillId="34" borderId="13" xfId="0" applyFont="1" applyFill="1" applyBorder="1" applyAlignment="1">
      <alignment horizontal="center" vertical="center" wrapText="1" readingOrder="1"/>
    </xf>
    <xf numFmtId="0" fontId="62" fillId="34" borderId="26" xfId="0" applyFont="1" applyFill="1" applyBorder="1" applyAlignment="1">
      <alignment horizontal="center" vertical="center" wrapText="1" readingOrder="1"/>
    </xf>
    <xf numFmtId="0" fontId="62" fillId="34" borderId="23" xfId="0" applyFont="1" applyFill="1" applyBorder="1" applyAlignment="1">
      <alignment horizontal="center" vertical="center" wrapText="1" readingOrder="1"/>
    </xf>
    <xf numFmtId="0" fontId="73" fillId="34" borderId="0" xfId="0" applyFont="1" applyFill="1" applyAlignment="1">
      <alignment horizontal="justify" vertical="center" wrapText="1"/>
    </xf>
    <xf numFmtId="0" fontId="57" fillId="47" borderId="33" xfId="0" applyFont="1" applyFill="1" applyBorder="1" applyAlignment="1">
      <alignment horizontal="center" vertical="center"/>
    </xf>
    <xf numFmtId="0" fontId="57" fillId="47" borderId="35" xfId="0" applyFont="1" applyFill="1" applyBorder="1" applyAlignment="1">
      <alignment horizontal="center" vertical="center"/>
    </xf>
    <xf numFmtId="0" fontId="57" fillId="47" borderId="34"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35">
    <dxf>
      <fill>
        <patternFill>
          <bgColor rgb="FF92D050"/>
        </patternFill>
      </fill>
      <border>
        <left style="thin"/>
        <right style="thin"/>
        <top style="thin"/>
        <bottom style="thin"/>
      </border>
    </dxf>
    <dxf>
      <fill>
        <patternFill>
          <bgColor rgb="FF00B05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0000"/>
        </patternFill>
      </fill>
    </dxf>
    <dxf>
      <fill>
        <patternFill>
          <bgColor rgb="FFFFC000"/>
        </patternFill>
      </fill>
      <border>
        <left style="thin"/>
        <right style="thin"/>
        <top style="thin"/>
        <bottom style="thin"/>
      </border>
    </dxf>
    <dxf>
      <fill>
        <patternFill>
          <bgColor rgb="FFFFFF00"/>
        </patternFill>
      </fill>
      <border>
        <left style="thin"/>
        <right style="thin"/>
        <top style="thin"/>
        <bottom style="thin"/>
      </border>
    </dxf>
    <dxf>
      <fill>
        <patternFill>
          <bgColor rgb="FF00B050"/>
        </patternFill>
      </fill>
      <border>
        <left style="thin"/>
        <right style="thin"/>
        <top style="thin"/>
        <bottom style="thin"/>
      </border>
    </dxf>
    <dxf>
      <fill>
        <patternFill>
          <bgColor rgb="FF92D050"/>
        </patternFill>
      </fill>
      <border>
        <left style="thin"/>
        <right style="thin"/>
        <top style="thin"/>
        <bottom style="thin"/>
      </border>
    </dxf>
    <dxf>
      <fill>
        <patternFill>
          <bgColor rgb="FF92D050"/>
        </patternFill>
      </fill>
      <border>
        <left style="thin"/>
        <right style="thin"/>
        <top style="thin"/>
        <bottom style="thin"/>
      </border>
    </dxf>
    <dxf>
      <fill>
        <patternFill>
          <bgColor rgb="FF00B05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92D050"/>
        </patternFill>
      </fill>
      <border>
        <left style="thin"/>
        <right style="thin"/>
        <top style="thin"/>
        <bottom style="thin"/>
      </border>
    </dxf>
    <dxf>
      <fill>
        <patternFill>
          <bgColor rgb="FF00B05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000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fill>
        <patternFill>
          <bgColor rgb="FFFF000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dxf>
      <fill>
        <patternFill>
          <bgColor rgb="FF92D050"/>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
      <fill>
        <patternFill>
          <bgColor theme="5"/>
        </patternFill>
      </fill>
      <border>
        <left style="thin">
          <color rgb="FF000000"/>
        </left>
        <right style="thin">
          <color rgb="FF000000"/>
        </right>
        <top style="thin"/>
        <bottom style="thin">
          <color rgb="FF000000"/>
        </bottom>
      </border>
    </dxf>
    <dxf>
      <fill>
        <patternFill>
          <bgColor rgb="FFFF0000"/>
        </patternFill>
      </fill>
      <border>
        <left style="thin">
          <color rgb="FF000000"/>
        </left>
        <right style="thin">
          <color rgb="FF000000"/>
        </right>
        <top style="thin"/>
        <bottom style="thin">
          <color rgb="FF000000"/>
        </bottom>
      </border>
    </dxf>
    <dxf>
      <fill>
        <patternFill>
          <bgColor rgb="FFFFC000"/>
        </patternFill>
      </fill>
      <border>
        <left style="thin">
          <color rgb="FF000000"/>
        </left>
        <right style="thin">
          <color rgb="FF000000"/>
        </right>
        <top style="thin"/>
        <bottom style="thin">
          <color rgb="FF000000"/>
        </bottom>
      </border>
    </dxf>
    <dxf>
      <fill>
        <patternFill>
          <bgColor rgb="FF00B05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95250</xdr:rowOff>
    </xdr:from>
    <xdr:to>
      <xdr:col>1</xdr:col>
      <xdr:colOff>666750</xdr:colOff>
      <xdr:row>2</xdr:row>
      <xdr:rowOff>123825</xdr:rowOff>
    </xdr:to>
    <xdr:pic>
      <xdr:nvPicPr>
        <xdr:cNvPr id="1" name="Picture 17" descr="LOGO SDS FORMATOS"/>
        <xdr:cNvPicPr preferRelativeResize="1">
          <a:picLocks noChangeAspect="1"/>
        </xdr:cNvPicPr>
      </xdr:nvPicPr>
      <xdr:blipFill>
        <a:blip r:embed="rId1"/>
        <a:stretch>
          <a:fillRect/>
        </a:stretch>
      </xdr:blipFill>
      <xdr:spPr>
        <a:xfrm>
          <a:off x="314325" y="95250"/>
          <a:ext cx="1038225" cy="1181100"/>
        </a:xfrm>
        <a:prstGeom prst="rect">
          <a:avLst/>
        </a:prstGeom>
        <a:noFill/>
        <a:ln w="9525" cmpd="sng">
          <a:noFill/>
        </a:ln>
      </xdr:spPr>
    </xdr:pic>
    <xdr:clientData/>
  </xdr:twoCellAnchor>
  <xdr:twoCellAnchor editAs="oneCell">
    <xdr:from>
      <xdr:col>41</xdr:col>
      <xdr:colOff>200025</xdr:colOff>
      <xdr:row>0</xdr:row>
      <xdr:rowOff>123825</xdr:rowOff>
    </xdr:from>
    <xdr:to>
      <xdr:col>41</xdr:col>
      <xdr:colOff>1247775</xdr:colOff>
      <xdr:row>2</xdr:row>
      <xdr:rowOff>28575</xdr:rowOff>
    </xdr:to>
    <xdr:pic>
      <xdr:nvPicPr>
        <xdr:cNvPr id="2" name="Picture 18" descr="logo SIG"/>
        <xdr:cNvPicPr preferRelativeResize="1">
          <a:picLocks noChangeAspect="1"/>
        </xdr:cNvPicPr>
      </xdr:nvPicPr>
      <xdr:blipFill>
        <a:blip r:embed="rId2"/>
        <a:stretch>
          <a:fillRect/>
        </a:stretch>
      </xdr:blipFill>
      <xdr:spPr>
        <a:xfrm>
          <a:off x="47796450" y="123825"/>
          <a:ext cx="1047750" cy="1057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85725</xdr:rowOff>
    </xdr:from>
    <xdr:to>
      <xdr:col>1</xdr:col>
      <xdr:colOff>638175</xdr:colOff>
      <xdr:row>2</xdr:row>
      <xdr:rowOff>104775</xdr:rowOff>
    </xdr:to>
    <xdr:pic>
      <xdr:nvPicPr>
        <xdr:cNvPr id="1" name="Picture 17" descr="LOGO SDS FORMATOS"/>
        <xdr:cNvPicPr preferRelativeResize="1">
          <a:picLocks noChangeAspect="1"/>
        </xdr:cNvPicPr>
      </xdr:nvPicPr>
      <xdr:blipFill>
        <a:blip r:embed="rId1"/>
        <a:stretch>
          <a:fillRect/>
        </a:stretch>
      </xdr:blipFill>
      <xdr:spPr>
        <a:xfrm>
          <a:off x="219075" y="85725"/>
          <a:ext cx="1028700" cy="1171575"/>
        </a:xfrm>
        <a:prstGeom prst="rect">
          <a:avLst/>
        </a:prstGeom>
        <a:noFill/>
        <a:ln w="9525" cmpd="sng">
          <a:noFill/>
        </a:ln>
      </xdr:spPr>
    </xdr:pic>
    <xdr:clientData/>
  </xdr:twoCellAnchor>
  <xdr:twoCellAnchor editAs="oneCell">
    <xdr:from>
      <xdr:col>13</xdr:col>
      <xdr:colOff>228600</xdr:colOff>
      <xdr:row>0</xdr:row>
      <xdr:rowOff>161925</xdr:rowOff>
    </xdr:from>
    <xdr:to>
      <xdr:col>14</xdr:col>
      <xdr:colOff>514350</xdr:colOff>
      <xdr:row>2</xdr:row>
      <xdr:rowOff>66675</xdr:rowOff>
    </xdr:to>
    <xdr:pic>
      <xdr:nvPicPr>
        <xdr:cNvPr id="2" name="Picture 18" descr="logo SIG"/>
        <xdr:cNvPicPr preferRelativeResize="1">
          <a:picLocks noChangeAspect="1"/>
        </xdr:cNvPicPr>
      </xdr:nvPicPr>
      <xdr:blipFill>
        <a:blip r:embed="rId2"/>
        <a:stretch>
          <a:fillRect/>
        </a:stretch>
      </xdr:blipFill>
      <xdr:spPr>
        <a:xfrm>
          <a:off x="14878050" y="161925"/>
          <a:ext cx="1047750" cy="1057275"/>
        </a:xfrm>
        <a:prstGeom prst="rect">
          <a:avLst/>
        </a:prstGeom>
        <a:noFill/>
        <a:ln w="9525" cmpd="sng">
          <a:noFill/>
        </a:ln>
      </xdr:spPr>
    </xdr:pic>
    <xdr:clientData/>
  </xdr:twoCellAnchor>
</xdr:wsDr>
</file>

<file path=xl/tables/table1.xml><?xml version="1.0" encoding="utf-8"?>
<table xmlns="http://schemas.openxmlformats.org/spreadsheetml/2006/main" id="1" name="objetivos_estrategicos" displayName="objetivos_estrategicos" ref="A1:A5" comment="" totalsRowShown="0">
  <tableColumns count="1">
    <tableColumn id="1" name="objetivos_estrategicos"/>
  </tableColumns>
  <tableStyleInfo name="TableStyleMedium9" showFirstColumn="0" showLastColumn="0" showRowStripes="1" showColumnStripes="0"/>
</table>
</file>

<file path=xl/tables/table2.xml><?xml version="1.0" encoding="utf-8"?>
<table xmlns="http://schemas.openxmlformats.org/spreadsheetml/2006/main" id="2" name="Procesos" displayName="Procesos" ref="B1:B21" comment="" totalsRowShown="0">
  <tableColumns count="1">
    <tableColumn id="1" name="Procesos"/>
  </tableColumns>
  <tableStyleInfo name="TableStyleMedium9" showFirstColumn="0" showLastColumn="0" showRowStripes="1" showColumnStripes="0"/>
</table>
</file>

<file path=xl/tables/table3.xml><?xml version="1.0" encoding="utf-8"?>
<table xmlns="http://schemas.openxmlformats.org/spreadsheetml/2006/main" id="3" name="impacto" displayName="impacto" ref="G1:G4" comment="" totalsRowShown="0">
  <tableColumns count="1">
    <tableColumn id="1" name="impacto"/>
  </tableColumns>
  <tableStyleInfo name="TableStyleMedium9" showFirstColumn="0" showLastColumn="0" showRowStripes="1" showColumnStripes="0"/>
</table>
</file>

<file path=xl/tables/table4.xml><?xml version="1.0" encoding="utf-8"?>
<table xmlns="http://schemas.openxmlformats.org/spreadsheetml/2006/main" id="6" name="tipos_riesgos" displayName="tipos_riesgos" ref="C1:F21" comment="" totalsRowShown="0">
  <tableColumns count="4">
    <tableColumn id="3" name="Objetivo Procesos"/>
    <tableColumn id="4" name="Tipo de Riesgo"/>
    <tableColumn id="1" name="Clasificación del Riesgo"/>
    <tableColumn id="2" name="Criterios de Impacto"/>
  </tableColumns>
  <tableStyleInfo name="TableStyleMedium9" showFirstColumn="0" showLastColumn="0" showRowStripes="1" showColumnStripes="0"/>
</table>
</file>

<file path=xl/tables/table5.xml><?xml version="1.0" encoding="utf-8"?>
<table xmlns="http://schemas.openxmlformats.org/spreadsheetml/2006/main" id="7" name="tratamiento" displayName="tratamiento" ref="I1:I4" comment="" totalsRowShown="0">
  <tableColumns count="1">
    <tableColumn id="1" name="Tipo"/>
  </tableColumns>
  <tableStyleInfo name="TableStyleMedium9" showFirstColumn="0" showLastColumn="0" showRowStripes="1" showColumnStripes="0"/>
</table>
</file>

<file path=xl/tables/table6.xml><?xml version="1.0" encoding="utf-8"?>
<table xmlns="http://schemas.openxmlformats.org/spreadsheetml/2006/main" id="8" name="tratamiento_corrupcion" displayName="tratamiento_corrupcion" ref="P1:P4" comment="" totalsRowShown="0">
  <tableColumns count="1">
    <tableColumn id="1" name="tratamiento_corrupc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96"/>
  <sheetViews>
    <sheetView tabSelected="1" zoomScale="70" zoomScaleNormal="70" zoomScalePageLayoutView="0" workbookViewId="0" topLeftCell="A1">
      <selection activeCell="C6" sqref="C6"/>
    </sheetView>
  </sheetViews>
  <sheetFormatPr defaultColWidth="11.421875" defaultRowHeight="15"/>
  <cols>
    <col min="1" max="1" width="10.28125" style="94" customWidth="1"/>
    <col min="2" max="2" width="15.00390625" style="94" customWidth="1"/>
    <col min="3" max="3" width="29.7109375" style="94" customWidth="1"/>
    <col min="4" max="4" width="28.140625" style="94" customWidth="1"/>
    <col min="5" max="5" width="13.140625" style="94" customWidth="1"/>
    <col min="6" max="6" width="24.140625" style="94" customWidth="1"/>
    <col min="7" max="7" width="24.421875" style="94" customWidth="1"/>
    <col min="8" max="8" width="11.421875" style="94" customWidth="1"/>
    <col min="9" max="9" width="13.8515625" style="94" customWidth="1"/>
    <col min="10" max="10" width="32.28125" style="94" customWidth="1"/>
    <col min="11" max="11" width="17.421875" style="94" customWidth="1"/>
    <col min="12" max="12" width="14.7109375" style="94" customWidth="1"/>
    <col min="13" max="13" width="12.28125" style="94" customWidth="1"/>
    <col min="14" max="15" width="11.421875" style="94" customWidth="1"/>
    <col min="16" max="16" width="10.8515625" style="94" customWidth="1"/>
    <col min="17" max="20" width="11.421875" style="94" customWidth="1"/>
    <col min="21" max="21" width="21.8515625" style="94" customWidth="1"/>
    <col min="22" max="22" width="21.00390625" style="94" customWidth="1"/>
    <col min="23" max="23" width="20.28125" style="94" customWidth="1"/>
    <col min="24" max="24" width="22.8515625" style="94" customWidth="1"/>
    <col min="25" max="25" width="21.421875" style="94" customWidth="1"/>
    <col min="26" max="26" width="30.8515625" style="94" customWidth="1"/>
    <col min="27" max="27" width="28.140625" style="94" customWidth="1"/>
    <col min="28" max="28" width="30.00390625" style="94" customWidth="1"/>
    <col min="29" max="29" width="22.00390625" style="94" customWidth="1"/>
    <col min="30" max="37" width="11.421875" style="94" customWidth="1"/>
    <col min="38" max="38" width="19.00390625" style="94" customWidth="1"/>
    <col min="39" max="39" width="14.00390625" style="94" bestFit="1" customWidth="1"/>
    <col min="40" max="40" width="28.28125" style="94" customWidth="1"/>
    <col min="41" max="41" width="16.421875" style="94" customWidth="1"/>
    <col min="42" max="42" width="22.421875" style="94" customWidth="1"/>
    <col min="43" max="16384" width="11.421875" style="94" customWidth="1"/>
  </cols>
  <sheetData>
    <row r="1" spans="1:42" ht="75.75" customHeight="1">
      <c r="A1" s="245"/>
      <c r="B1" s="246"/>
      <c r="C1" s="237" t="s">
        <v>252</v>
      </c>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42"/>
    </row>
    <row r="2" spans="1:42" ht="15" customHeight="1">
      <c r="A2" s="247"/>
      <c r="B2" s="248"/>
      <c r="C2" s="237" t="s">
        <v>253</v>
      </c>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43"/>
    </row>
    <row r="3" spans="1:42" ht="15" customHeight="1">
      <c r="A3" s="249"/>
      <c r="B3" s="250"/>
      <c r="C3" s="237" t="s">
        <v>256</v>
      </c>
      <c r="D3" s="238"/>
      <c r="E3" s="238"/>
      <c r="F3" s="238"/>
      <c r="G3" s="238"/>
      <c r="H3" s="238"/>
      <c r="I3" s="238"/>
      <c r="J3" s="238"/>
      <c r="K3" s="238"/>
      <c r="L3" s="238" t="s">
        <v>254</v>
      </c>
      <c r="M3" s="238"/>
      <c r="N3" s="238"/>
      <c r="O3" s="238"/>
      <c r="P3" s="238"/>
      <c r="Q3" s="238"/>
      <c r="R3" s="238"/>
      <c r="S3" s="238"/>
      <c r="T3" s="238"/>
      <c r="U3" s="238"/>
      <c r="V3" s="238"/>
      <c r="W3" s="238"/>
      <c r="X3" s="238"/>
      <c r="Y3" s="238"/>
      <c r="Z3" s="238"/>
      <c r="AA3" s="238"/>
      <c r="AB3" s="238"/>
      <c r="AC3" s="238"/>
      <c r="AD3" s="238"/>
      <c r="AE3" s="238"/>
      <c r="AF3" s="253"/>
      <c r="AG3" s="237" t="s">
        <v>255</v>
      </c>
      <c r="AH3" s="238"/>
      <c r="AI3" s="238"/>
      <c r="AJ3" s="238"/>
      <c r="AK3" s="238"/>
      <c r="AL3" s="253"/>
      <c r="AM3" s="237">
        <v>4</v>
      </c>
      <c r="AN3" s="238"/>
      <c r="AO3" s="238"/>
      <c r="AP3" s="244"/>
    </row>
    <row r="4" spans="1:42" ht="15" customHeight="1">
      <c r="A4" s="239" t="s">
        <v>251</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1"/>
    </row>
    <row r="5" ht="15"/>
    <row r="6" ht="15.75" thickBot="1"/>
    <row r="7" spans="1:42" ht="16.5" customHeight="1" thickBot="1">
      <c r="A7" s="201" t="s">
        <v>210</v>
      </c>
      <c r="B7" s="202"/>
      <c r="C7" s="202"/>
      <c r="D7" s="202"/>
      <c r="E7" s="202"/>
      <c r="F7" s="202"/>
      <c r="G7" s="202"/>
      <c r="H7" s="202"/>
      <c r="I7" s="202"/>
      <c r="J7" s="202"/>
      <c r="K7" s="202"/>
      <c r="L7" s="202"/>
      <c r="M7" s="203"/>
      <c r="N7" s="188" t="s">
        <v>211</v>
      </c>
      <c r="O7" s="189"/>
      <c r="P7" s="189"/>
      <c r="Q7" s="189"/>
      <c r="R7" s="189"/>
      <c r="S7" s="190"/>
      <c r="T7" s="201" t="s">
        <v>224</v>
      </c>
      <c r="U7" s="202"/>
      <c r="V7" s="202"/>
      <c r="W7" s="202"/>
      <c r="X7" s="202"/>
      <c r="Y7" s="202"/>
      <c r="Z7" s="202"/>
      <c r="AA7" s="202"/>
      <c r="AB7" s="202"/>
      <c r="AC7" s="202"/>
      <c r="AD7" s="202"/>
      <c r="AE7" s="202"/>
      <c r="AF7" s="202"/>
      <c r="AG7" s="203"/>
      <c r="AH7" s="204" t="s">
        <v>225</v>
      </c>
      <c r="AI7" s="189"/>
      <c r="AJ7" s="189"/>
      <c r="AK7" s="189"/>
      <c r="AL7" s="189"/>
      <c r="AM7" s="190"/>
      <c r="AN7" s="188" t="s">
        <v>212</v>
      </c>
      <c r="AO7" s="189"/>
      <c r="AP7" s="190"/>
    </row>
    <row r="8" spans="1:42" ht="16.5" customHeight="1">
      <c r="A8" s="215" t="s">
        <v>131</v>
      </c>
      <c r="B8" s="191" t="s">
        <v>227</v>
      </c>
      <c r="C8" s="191" t="s">
        <v>228</v>
      </c>
      <c r="D8" s="217" t="s">
        <v>132</v>
      </c>
      <c r="E8" s="191" t="s">
        <v>229</v>
      </c>
      <c r="F8" s="191" t="s">
        <v>133</v>
      </c>
      <c r="G8" s="191" t="s">
        <v>134</v>
      </c>
      <c r="H8" s="256" t="s">
        <v>243</v>
      </c>
      <c r="I8" s="257"/>
      <c r="J8" s="191" t="s">
        <v>244</v>
      </c>
      <c r="K8" s="251" t="s">
        <v>245</v>
      </c>
      <c r="L8" s="256" t="s">
        <v>246</v>
      </c>
      <c r="M8" s="193" t="s">
        <v>276</v>
      </c>
      <c r="N8" s="195" t="s">
        <v>141</v>
      </c>
      <c r="O8" s="184" t="s">
        <v>142</v>
      </c>
      <c r="P8" s="184" t="s">
        <v>143</v>
      </c>
      <c r="Q8" s="184" t="s">
        <v>207</v>
      </c>
      <c r="R8" s="184" t="s">
        <v>209</v>
      </c>
      <c r="S8" s="205" t="s">
        <v>194</v>
      </c>
      <c r="T8" s="215" t="s">
        <v>135</v>
      </c>
      <c r="U8" s="103"/>
      <c r="V8" s="191" t="s">
        <v>181</v>
      </c>
      <c r="W8" s="191"/>
      <c r="X8" s="191"/>
      <c r="Y8" s="191"/>
      <c r="Z8" s="191"/>
      <c r="AA8" s="191"/>
      <c r="AB8" s="191"/>
      <c r="AC8" s="191" t="s">
        <v>236</v>
      </c>
      <c r="AD8" s="217" t="s">
        <v>237</v>
      </c>
      <c r="AE8" s="191" t="s">
        <v>3</v>
      </c>
      <c r="AF8" s="191"/>
      <c r="AG8" s="193"/>
      <c r="AH8" s="219" t="s">
        <v>136</v>
      </c>
      <c r="AI8" s="184" t="s">
        <v>137</v>
      </c>
      <c r="AJ8" s="184" t="s">
        <v>138</v>
      </c>
      <c r="AK8" s="184" t="s">
        <v>268</v>
      </c>
      <c r="AL8" s="184" t="s">
        <v>139</v>
      </c>
      <c r="AM8" s="213" t="s">
        <v>226</v>
      </c>
      <c r="AN8" s="195" t="s">
        <v>140</v>
      </c>
      <c r="AO8" s="191" t="s">
        <v>199</v>
      </c>
      <c r="AP8" s="193" t="s">
        <v>275</v>
      </c>
    </row>
    <row r="9" spans="1:42" ht="84" customHeight="1" thickBot="1">
      <c r="A9" s="216"/>
      <c r="B9" s="192"/>
      <c r="C9" s="192"/>
      <c r="D9" s="218"/>
      <c r="E9" s="192"/>
      <c r="F9" s="192"/>
      <c r="G9" s="192"/>
      <c r="H9" s="104" t="s">
        <v>242</v>
      </c>
      <c r="I9" s="104" t="s">
        <v>241</v>
      </c>
      <c r="J9" s="192"/>
      <c r="K9" s="252"/>
      <c r="L9" s="259"/>
      <c r="M9" s="258"/>
      <c r="N9" s="196"/>
      <c r="O9" s="185"/>
      <c r="P9" s="185"/>
      <c r="Q9" s="185"/>
      <c r="R9" s="185"/>
      <c r="S9" s="206"/>
      <c r="T9" s="216"/>
      <c r="U9" s="118" t="s">
        <v>208</v>
      </c>
      <c r="V9" s="118" t="s">
        <v>206</v>
      </c>
      <c r="W9" s="118" t="s">
        <v>200</v>
      </c>
      <c r="X9" s="118" t="s">
        <v>205</v>
      </c>
      <c r="Y9" s="118" t="s">
        <v>203</v>
      </c>
      <c r="Z9" s="104" t="s">
        <v>204</v>
      </c>
      <c r="AA9" s="118" t="s">
        <v>201</v>
      </c>
      <c r="AB9" s="104" t="s">
        <v>202</v>
      </c>
      <c r="AC9" s="192"/>
      <c r="AD9" s="218"/>
      <c r="AE9" s="105" t="s">
        <v>238</v>
      </c>
      <c r="AF9" s="105" t="s">
        <v>239</v>
      </c>
      <c r="AG9" s="106" t="s">
        <v>240</v>
      </c>
      <c r="AH9" s="220"/>
      <c r="AI9" s="185"/>
      <c r="AJ9" s="185"/>
      <c r="AK9" s="185"/>
      <c r="AL9" s="185"/>
      <c r="AM9" s="214"/>
      <c r="AN9" s="196"/>
      <c r="AO9" s="192"/>
      <c r="AP9" s="194"/>
    </row>
    <row r="10" spans="1:42" ht="168.75" thickBot="1">
      <c r="A10" s="145">
        <v>1</v>
      </c>
      <c r="B10" s="83" t="s">
        <v>19</v>
      </c>
      <c r="C10" s="83" t="s">
        <v>247</v>
      </c>
      <c r="D10" s="92" t="str">
        <f>_xlfn.IFERROR(VLOOKUP(B10,datos!$B$1:$C$21,2,0),"")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0" s="83" t="s">
        <v>54</v>
      </c>
      <c r="F10" s="83" t="s">
        <v>277</v>
      </c>
      <c r="G10" s="83" t="s">
        <v>277</v>
      </c>
      <c r="H10" s="83" t="s">
        <v>232</v>
      </c>
      <c r="I10" s="83" t="s">
        <v>278</v>
      </c>
      <c r="J10" s="83" t="s">
        <v>279</v>
      </c>
      <c r="K10" s="160" t="s">
        <v>184</v>
      </c>
      <c r="L10" s="148" t="s">
        <v>197</v>
      </c>
      <c r="M10" s="147" t="s">
        <v>274</v>
      </c>
      <c r="N10" s="149">
        <v>12</v>
      </c>
      <c r="O10" s="109" t="str">
        <f>_xlfn.IFERROR(VLOOKUP(P10,datos!$AC$2:$AE$7,3,0),"")</f>
        <v>Baja</v>
      </c>
      <c r="P10" s="150">
        <f>+IF(OR(N10="",N10=0),"",IF(N10&lt;=datos!$AD$3,datos!$AC$3,IF(AND(N10&gt;datos!$AD$3,N10&lt;=datos!$AD$4),datos!$AC$4,IF(AND(N10&gt;datos!$AD$4,N10&lt;=datos!$AD$5),datos!$AC$5,IF(AND(N10&gt;datos!$AD$5,N10&lt;=datos!$AD$6),datos!$AC$6,IF(N10&gt;datos!$AD$7,datos!$AC$7,0))))))</f>
        <v>0.4</v>
      </c>
      <c r="Q10" s="159" t="str">
        <f>+HLOOKUP(A10,'Impacto Riesgo de Corrupción'!$D$8:$AQ$29,22,0)</f>
        <v>Moderado</v>
      </c>
      <c r="R10" s="150">
        <f>+IF(Q10="","",VLOOKUP(Q10,datos!$AC$12:$AD$15,2,0))</f>
        <v>0.6</v>
      </c>
      <c r="S10" s="158" t="str">
        <f ca="1">_xlfn.IFERROR(INDIRECT("datos!"&amp;HLOOKUP(Q10,calculo_imp,2,FALSE)&amp;VLOOKUP(O10,calculo_prob,2,FALSE)),"")</f>
        <v>Moderado</v>
      </c>
      <c r="T10" s="95">
        <v>1</v>
      </c>
      <c r="U10" s="83" t="s">
        <v>288</v>
      </c>
      <c r="V10" s="82" t="s">
        <v>289</v>
      </c>
      <c r="W10" s="82" t="s">
        <v>290</v>
      </c>
      <c r="X10" s="82" t="s">
        <v>291</v>
      </c>
      <c r="Y10" s="82" t="s">
        <v>292</v>
      </c>
      <c r="Z10" s="82" t="s">
        <v>293</v>
      </c>
      <c r="AA10" s="82" t="s">
        <v>294</v>
      </c>
      <c r="AB10" s="82" t="s">
        <v>292</v>
      </c>
      <c r="AC10" s="82" t="s">
        <v>295</v>
      </c>
      <c r="AD10" s="92" t="str">
        <f>IF(AE10="","",VLOOKUP(AE10,datos!$AT$6:$AU$9,2,0))</f>
        <v>Probabilidad</v>
      </c>
      <c r="AE10" s="83" t="s">
        <v>80</v>
      </c>
      <c r="AF10" s="83" t="s">
        <v>84</v>
      </c>
      <c r="AG10" s="86">
        <f>IF(AND(AE10="",AF10=""),"",IF(AE10="",0,VLOOKUP(AE10,datos!$AP$3:$AR$7,3,0))+IF(AF10="",0,VLOOKUP(AF10,datos!$AP$3:$AR$7,3,0)))</f>
        <v>0.4</v>
      </c>
      <c r="AH10" s="107" t="str">
        <f>IF(OR(AI10="",AI10=0),"",IF(AI10&lt;=datos!$AC$3,datos!$AE$3,IF(AI10&lt;=datos!$AC$4,datos!$AE$4,IF(AI10&lt;=datos!$AC$5,datos!$AE$5,IF(AI10&lt;=datos!$AC$6,datos!$AE$6,IF(AI10&lt;=datos!$AC$7,datos!$AE$7,""))))))</f>
        <v>Baja</v>
      </c>
      <c r="AI10" s="108">
        <f>IF(AD10="","",IF(T10=1,IF(AD10="Probabilidad",P10-(P10*AG10),P10),IF(AD10="Probabilidad",AI9-(AI9*AG10),AI9)))</f>
        <v>0.24</v>
      </c>
      <c r="AJ10" s="109" t="str">
        <f>+IF(AK10&lt;=datos!$AD$11,datos!$AC$11,IF(AK10&lt;=datos!$AD$12,datos!$AC$12,IF(AK10&lt;=datos!$AD$13,datos!$AC$13,IF(AK10&lt;=datos!$AD$14,datos!$AC$14,IF(AK10&lt;=datos!$AD$15,datos!$AC$15,"")))))</f>
        <v>Moderado</v>
      </c>
      <c r="AK10" s="108">
        <f>IF(AD10="","",IF(T10=1,IF(AD10="Impacto",R10-(R10*AG10),R10),IF(AD10="Impacto",AK9-(AK9*AG10),AK9)))</f>
        <v>0.6</v>
      </c>
      <c r="AL10" s="109" t="str">
        <f aca="true" ca="1" t="shared" si="0" ref="AL10:AL17">_xlfn.IFERROR(INDIRECT("datos!"&amp;HLOOKUP(AJ10,calculo_imp,2,FALSE)&amp;VLOOKUP(AH10,calculo_prob,2,FALSE)),"")</f>
        <v>Moderado</v>
      </c>
      <c r="AM10" s="152" t="s">
        <v>92</v>
      </c>
      <c r="AN10" s="140" t="s">
        <v>331</v>
      </c>
      <c r="AO10" s="142" t="s">
        <v>332</v>
      </c>
      <c r="AP10" s="156"/>
    </row>
    <row r="11" spans="1:42" ht="168">
      <c r="A11" s="221">
        <v>2</v>
      </c>
      <c r="B11" s="223" t="s">
        <v>19</v>
      </c>
      <c r="C11" s="223" t="s">
        <v>247</v>
      </c>
      <c r="D11" s="227" t="str">
        <f>_xlfn.IFERROR(VLOOKUP(B11,datos!$B$1:$C$21,2,0),"")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1" s="223" t="s">
        <v>55</v>
      </c>
      <c r="F11" s="223" t="s">
        <v>280</v>
      </c>
      <c r="G11" s="223" t="s">
        <v>281</v>
      </c>
      <c r="H11" s="223" t="s">
        <v>232</v>
      </c>
      <c r="I11" s="223" t="s">
        <v>282</v>
      </c>
      <c r="J11" s="223" t="s">
        <v>283</v>
      </c>
      <c r="K11" s="229" t="s">
        <v>184</v>
      </c>
      <c r="L11" s="231" t="s">
        <v>59</v>
      </c>
      <c r="M11" s="235" t="s">
        <v>274</v>
      </c>
      <c r="N11" s="233">
        <v>1800</v>
      </c>
      <c r="O11" s="225" t="str">
        <f>_xlfn.IFERROR(VLOOKUP(P11,datos!$AC$2:$AE$7,3,0),"")</f>
        <v>Alta</v>
      </c>
      <c r="P11" s="209">
        <f>+IF(OR(N11="",N11=0),"",IF(N11&lt;=datos!$AD$3,datos!$AC$3,IF(AND(N11&gt;datos!$AD$3,N11&lt;=datos!$AD$4),datos!$AC$4,IF(AND(N11&gt;datos!$AD$4,N11&lt;=datos!$AD$5),datos!$AC$5,IF(AND(N11&gt;datos!$AD$5,N11&lt;=datos!$AD$6),datos!$AC$6,IF(N11&gt;datos!$AD$7,datos!$AC$7,0))))))</f>
        <v>0.8</v>
      </c>
      <c r="Q11" s="211" t="str">
        <f>+HLOOKUP(A11,'Impacto Riesgo de Corrupción'!$D$8:$AQ$29,22,0)</f>
        <v>Mayor</v>
      </c>
      <c r="R11" s="209">
        <f>+IF(Q11="","",VLOOKUP(Q11,datos!$AC$12:$AD$15,2,0))</f>
        <v>0.8</v>
      </c>
      <c r="S11" s="207" t="str">
        <f ca="1">_xlfn.IFERROR(INDIRECT("datos!"&amp;HLOOKUP(Q11,calculo_imp,2,FALSE)&amp;VLOOKUP(O11,calculo_prob,2,FALSE)),"")</f>
        <v>Alto</v>
      </c>
      <c r="T11" s="95">
        <v>1</v>
      </c>
      <c r="U11" s="83" t="s">
        <v>296</v>
      </c>
      <c r="V11" s="82" t="s">
        <v>297</v>
      </c>
      <c r="W11" s="82" t="s">
        <v>298</v>
      </c>
      <c r="X11" s="82" t="s">
        <v>299</v>
      </c>
      <c r="Y11" s="82" t="s">
        <v>300</v>
      </c>
      <c r="Z11" s="82" t="s">
        <v>301</v>
      </c>
      <c r="AA11" s="82" t="s">
        <v>302</v>
      </c>
      <c r="AB11" s="82" t="s">
        <v>303</v>
      </c>
      <c r="AC11" s="82" t="s">
        <v>295</v>
      </c>
      <c r="AD11" s="92" t="str">
        <f>IF(AE11="","",VLOOKUP(AE11,datos!$AT$6:$AU$9,2,0))</f>
        <v>Probabilidad</v>
      </c>
      <c r="AE11" s="83" t="s">
        <v>80</v>
      </c>
      <c r="AF11" s="83" t="s">
        <v>84</v>
      </c>
      <c r="AG11" s="86">
        <f>IF(AND(AE11="",AF11=""),"",IF(AE11="",0,VLOOKUP(AE11,datos!$AP$3:$AR$7,3,0))+IF(AF11="",0,VLOOKUP(AF11,datos!$AP$3:$AR$7,3,0)))</f>
        <v>0.4</v>
      </c>
      <c r="AH11" s="107" t="str">
        <f>IF(OR(AI11="",AI11=0),"",IF(AI11&lt;=datos!$AC$3,datos!$AE$3,IF(AI11&lt;=datos!$AC$4,datos!$AE$4,IF(AI11&lt;=datos!$AC$5,datos!$AE$5,IF(AI11&lt;=datos!$AC$6,datos!$AE$6,IF(AI11&lt;=datos!$AC$7,datos!$AE$7,""))))))</f>
        <v>Media</v>
      </c>
      <c r="AI11" s="108">
        <f>IF(AD11="","",IF(T11=1,IF(AD11="Probabilidad",P11-(P11*AG11),P11),IF(AD11="Probabilidad",#REF!-(#REF!*AG11),#REF!)))</f>
        <v>0.48</v>
      </c>
      <c r="AJ11" s="109" t="str">
        <f>+IF(AK11&lt;=datos!$AD$11,datos!$AC$11,IF(AK11&lt;=datos!$AD$12,datos!$AC$12,IF(AK11&lt;=datos!$AD$13,datos!$AC$13,IF(AK11&lt;=datos!$AD$14,datos!$AC$14,IF(AK11&lt;=datos!$AD$15,datos!$AC$15,"")))))</f>
        <v>Mayor</v>
      </c>
      <c r="AK11" s="108">
        <f>IF(AD11="","",IF(T11=1,IF(AD11="Impacto",R11-(R11*AG11),R11),IF(AD11="Impacto",#REF!-(#REF!*AG11),#REF!)))</f>
        <v>0.8</v>
      </c>
      <c r="AL11" s="109" t="str">
        <f ca="1" t="shared" si="0"/>
        <v>Alto</v>
      </c>
      <c r="AM11" s="254" t="s">
        <v>92</v>
      </c>
      <c r="AN11" s="197" t="s">
        <v>333</v>
      </c>
      <c r="AO11" s="199" t="s">
        <v>332</v>
      </c>
      <c r="AP11" s="186"/>
    </row>
    <row r="12" spans="1:42" ht="108">
      <c r="A12" s="222"/>
      <c r="B12" s="224"/>
      <c r="C12" s="224"/>
      <c r="D12" s="228"/>
      <c r="E12" s="224"/>
      <c r="F12" s="224"/>
      <c r="G12" s="224"/>
      <c r="H12" s="224"/>
      <c r="I12" s="224"/>
      <c r="J12" s="224"/>
      <c r="K12" s="230"/>
      <c r="L12" s="232"/>
      <c r="M12" s="236"/>
      <c r="N12" s="234"/>
      <c r="O12" s="226"/>
      <c r="P12" s="210"/>
      <c r="Q12" s="212"/>
      <c r="R12" s="210" t="e">
        <f>IF(OR(#REF!=datos!$AB$10,#REF!=datos!$AB$16),"",VLOOKUP(#REF!,datos!$AA$10:$AC$21,3,0))</f>
        <v>#REF!</v>
      </c>
      <c r="S12" s="208"/>
      <c r="T12" s="96">
        <v>2</v>
      </c>
      <c r="U12" s="79" t="s">
        <v>304</v>
      </c>
      <c r="V12" s="78" t="s">
        <v>305</v>
      </c>
      <c r="W12" s="78" t="s">
        <v>298</v>
      </c>
      <c r="X12" s="78" t="s">
        <v>306</v>
      </c>
      <c r="Y12" s="78" t="s">
        <v>307</v>
      </c>
      <c r="Z12" s="78" t="s">
        <v>308</v>
      </c>
      <c r="AA12" s="78" t="s">
        <v>309</v>
      </c>
      <c r="AB12" s="78" t="s">
        <v>303</v>
      </c>
      <c r="AC12" s="78" t="s">
        <v>295</v>
      </c>
      <c r="AD12" s="91" t="str">
        <f>IF(AE12="","",VLOOKUP(AE12,datos!$AT$6:$AU$9,2,0))</f>
        <v>Probabilidad</v>
      </c>
      <c r="AE12" s="79" t="s">
        <v>80</v>
      </c>
      <c r="AF12" s="79" t="s">
        <v>84</v>
      </c>
      <c r="AG12" s="87">
        <f>IF(AND(AE12="",AF12=""),"",IF(AE12="",0,VLOOKUP(AE12,datos!$AP$3:$AR$7,3,0))+IF(AF12="",0,VLOOKUP(AF12,datos!$AP$3:$AR$7,3,0)))</f>
        <v>0.4</v>
      </c>
      <c r="AH12" s="110" t="str">
        <f>IF(OR(AI12="",AI12=0),"",IF(AI12&lt;=datos!$AC$3,datos!$AE$3,IF(AI12&lt;=datos!$AC$4,datos!$AE$4,IF(AI12&lt;=datos!$AC$5,datos!$AE$5,IF(AI12&lt;=datos!$AC$6,datos!$AE$6,IF(AI12&lt;=datos!$AC$7,datos!$AE$7,""))))))</f>
        <v>Baja</v>
      </c>
      <c r="AI12" s="111">
        <f>IF(AD12="","",IF(T12=1,IF(AD12="Probabilidad",P12-(P12*AG12),P12),IF(AD12="Probabilidad",AI11-(AI11*AG12),AI11)))</f>
        <v>0.288</v>
      </c>
      <c r="AJ12" s="112" t="str">
        <f>+IF(AK12&lt;=datos!$AD$11,datos!$AC$11,IF(AK12&lt;=datos!$AD$12,datos!$AC$12,IF(AK12&lt;=datos!$AD$13,datos!$AC$13,IF(AK12&lt;=datos!$AD$14,datos!$AC$14,IF(AK12&lt;=datos!$AD$15,datos!$AC$15,"")))))</f>
        <v>Mayor</v>
      </c>
      <c r="AK12" s="111">
        <f>IF(AD12="","",IF(T12=1,IF(AD12="Impacto",R12-(R12*AG12),R12),IF(AD12="Impacto",AK11-(AK11*AG12),AK11)))</f>
        <v>0.8</v>
      </c>
      <c r="AL12" s="112" t="str">
        <f ca="1" t="shared" si="0"/>
        <v>Alto</v>
      </c>
      <c r="AM12" s="255"/>
      <c r="AN12" s="198"/>
      <c r="AO12" s="200"/>
      <c r="AP12" s="187"/>
    </row>
    <row r="13" spans="1:42" ht="96.75" thickBot="1">
      <c r="A13" s="222"/>
      <c r="B13" s="224"/>
      <c r="C13" s="224"/>
      <c r="D13" s="228"/>
      <c r="E13" s="224"/>
      <c r="F13" s="224"/>
      <c r="G13" s="224"/>
      <c r="H13" s="224"/>
      <c r="I13" s="224"/>
      <c r="J13" s="224"/>
      <c r="K13" s="230"/>
      <c r="L13" s="232"/>
      <c r="M13" s="236"/>
      <c r="N13" s="234"/>
      <c r="O13" s="226"/>
      <c r="P13" s="210"/>
      <c r="Q13" s="212"/>
      <c r="R13" s="210" t="e">
        <f>IF(OR(#REF!=datos!$AB$10,#REF!=datos!$AB$16),"",VLOOKUP(#REF!,datos!$AA$10:$AC$21,3,0))</f>
        <v>#REF!</v>
      </c>
      <c r="S13" s="208"/>
      <c r="T13" s="96">
        <v>3</v>
      </c>
      <c r="U13" s="79" t="s">
        <v>310</v>
      </c>
      <c r="V13" s="78" t="s">
        <v>311</v>
      </c>
      <c r="W13" s="78" t="s">
        <v>290</v>
      </c>
      <c r="X13" s="78" t="s">
        <v>312</v>
      </c>
      <c r="Y13" s="78" t="s">
        <v>313</v>
      </c>
      <c r="Z13" s="78" t="s">
        <v>314</v>
      </c>
      <c r="AA13" s="78" t="s">
        <v>315</v>
      </c>
      <c r="AB13" s="78" t="s">
        <v>316</v>
      </c>
      <c r="AC13" s="78" t="s">
        <v>295</v>
      </c>
      <c r="AD13" s="91" t="str">
        <f>IF(AE13="","",VLOOKUP(AE13,datos!$AT$6:$AU$9,2,0))</f>
        <v>Probabilidad</v>
      </c>
      <c r="AE13" s="79" t="s">
        <v>80</v>
      </c>
      <c r="AF13" s="79" t="s">
        <v>84</v>
      </c>
      <c r="AG13" s="87">
        <f>IF(AND(AE13="",AF13=""),"",IF(AE13="",0,VLOOKUP(AE13,datos!$AP$3:$AR$7,3,0))+IF(AF13="",0,VLOOKUP(AF13,datos!$AP$3:$AR$7,3,0)))</f>
        <v>0.4</v>
      </c>
      <c r="AH13" s="110" t="str">
        <f>IF(OR(AI13="",AI13=0),"",IF(AI13&lt;=datos!$AC$3,datos!$AE$3,IF(AI13&lt;=datos!$AC$4,datos!$AE$4,IF(AI13&lt;=datos!$AC$5,datos!$AE$5,IF(AI13&lt;=datos!$AC$6,datos!$AE$6,IF(AI13&lt;=datos!$AC$7,datos!$AE$7,""))))))</f>
        <v>Muy Baja</v>
      </c>
      <c r="AI13" s="111">
        <f>IF(AD13="","",IF(T13=1,IF(AD13="Probabilidad",P13-(P13*AG13),P13),IF(AD13="Probabilidad",AI12-(AI12*AG13),AI12)))</f>
        <v>0.17279999999999998</v>
      </c>
      <c r="AJ13" s="112" t="str">
        <f>+IF(AK13&lt;=datos!$AD$11,datos!$AC$11,IF(AK13&lt;=datos!$AD$12,datos!$AC$12,IF(AK13&lt;=datos!$AD$13,datos!$AC$13,IF(AK13&lt;=datos!$AD$14,datos!$AC$14,IF(AK13&lt;=datos!$AD$15,datos!$AC$15,"")))))</f>
        <v>Mayor</v>
      </c>
      <c r="AK13" s="111">
        <f>IF(AD13="","",IF(T13=1,IF(AD13="Impacto",R13-(R13*AG13),R13),IF(AD13="Impacto",AK12-(AK12*AG13),AK12)))</f>
        <v>0.8</v>
      </c>
      <c r="AL13" s="112" t="str">
        <f ca="1" t="shared" si="0"/>
        <v>Alto</v>
      </c>
      <c r="AM13" s="255"/>
      <c r="AN13" s="198"/>
      <c r="AO13" s="200"/>
      <c r="AP13" s="187"/>
    </row>
    <row r="14" spans="1:42" ht="96">
      <c r="A14" s="221">
        <v>3</v>
      </c>
      <c r="B14" s="223" t="s">
        <v>19</v>
      </c>
      <c r="C14" s="223" t="s">
        <v>249</v>
      </c>
      <c r="D14" s="227" t="str">
        <f>_xlfn.IFERROR(VLOOKUP(B14,datos!$B$1:$C$21,2,0),"")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4" s="223" t="s">
        <v>54</v>
      </c>
      <c r="F14" s="223" t="s">
        <v>284</v>
      </c>
      <c r="G14" s="223" t="s">
        <v>285</v>
      </c>
      <c r="H14" s="223" t="s">
        <v>233</v>
      </c>
      <c r="I14" s="223" t="s">
        <v>286</v>
      </c>
      <c r="J14" s="223" t="s">
        <v>287</v>
      </c>
      <c r="K14" s="229" t="s">
        <v>184</v>
      </c>
      <c r="L14" s="231" t="s">
        <v>197</v>
      </c>
      <c r="M14" s="235" t="s">
        <v>274</v>
      </c>
      <c r="N14" s="233">
        <v>2</v>
      </c>
      <c r="O14" s="225" t="str">
        <f>_xlfn.IFERROR(VLOOKUP(P14,datos!$AC$2:$AE$7,3,0),"")</f>
        <v>Muy Baja</v>
      </c>
      <c r="P14" s="209">
        <f>+IF(OR(N14="",N14=0),"",IF(N14&lt;=datos!$AD$3,datos!$AC$3,IF(AND(N14&gt;datos!$AD$3,N14&lt;=datos!$AD$4),datos!$AC$4,IF(AND(N14&gt;datos!$AD$4,N14&lt;=datos!$AD$5),datos!$AC$5,IF(AND(N14&gt;datos!$AD$5,N14&lt;=datos!$AD$6),datos!$AC$6,IF(N14&gt;datos!$AD$7,datos!$AC$7,0))))))</f>
        <v>0.2</v>
      </c>
      <c r="Q14" s="211" t="str">
        <f>+HLOOKUP(A14,'Impacto Riesgo de Corrupción'!$D$8:$AQ$29,22,0)</f>
        <v>Mayor</v>
      </c>
      <c r="R14" s="209">
        <f>+IF(Q14="","",VLOOKUP(Q14,datos!$AC$12:$AD$15,2,0))</f>
        <v>0.8</v>
      </c>
      <c r="S14" s="207" t="str">
        <f ca="1">_xlfn.IFERROR(INDIRECT("datos!"&amp;HLOOKUP(Q14,calculo_imp,2,FALSE)&amp;VLOOKUP(O14,calculo_prob,2,FALSE)),"")</f>
        <v>Alto</v>
      </c>
      <c r="T14" s="95">
        <v>1</v>
      </c>
      <c r="U14" s="83" t="s">
        <v>317</v>
      </c>
      <c r="V14" s="82" t="s">
        <v>318</v>
      </c>
      <c r="W14" s="82" t="s">
        <v>319</v>
      </c>
      <c r="X14" s="82" t="s">
        <v>320</v>
      </c>
      <c r="Y14" s="82" t="s">
        <v>321</v>
      </c>
      <c r="Z14" s="82" t="s">
        <v>322</v>
      </c>
      <c r="AA14" s="82" t="s">
        <v>323</v>
      </c>
      <c r="AB14" s="82" t="s">
        <v>324</v>
      </c>
      <c r="AC14" s="82" t="s">
        <v>295</v>
      </c>
      <c r="AD14" s="92" t="str">
        <f>IF(AE14="","",VLOOKUP(AE14,datos!$AT$6:$AU$9,2,0))</f>
        <v>Probabilidad</v>
      </c>
      <c r="AE14" s="83" t="s">
        <v>80</v>
      </c>
      <c r="AF14" s="83" t="s">
        <v>84</v>
      </c>
      <c r="AG14" s="86">
        <f>IF(AND(AE14="",AF14=""),"",IF(AE14="",0,VLOOKUP(AE14,datos!$AP$3:$AR$7,3,0))+IF(AF14="",0,VLOOKUP(AF14,datos!$AP$3:$AR$7,3,0)))</f>
        <v>0.4</v>
      </c>
      <c r="AH14" s="107" t="str">
        <f>IF(OR(AI14="",AI14=0),"",IF(AI14&lt;=datos!$AC$3,datos!$AE$3,IF(AI14&lt;=datos!$AC$4,datos!$AE$4,IF(AI14&lt;=datos!$AC$5,datos!$AE$5,IF(AI14&lt;=datos!$AC$6,datos!$AE$6,IF(AI14&lt;=datos!$AC$7,datos!$AE$7,""))))))</f>
        <v>Muy Baja</v>
      </c>
      <c r="AI14" s="108">
        <f>IF(AD14="","",IF(T14=1,IF(AD14="Probabilidad",P14-(P14*AG14),P14),IF(AD14="Probabilidad",#REF!-(#REF!*AG14),#REF!)))</f>
        <v>0.12</v>
      </c>
      <c r="AJ14" s="109" t="str">
        <f>+IF(AK14&lt;=datos!$AD$11,datos!$AC$11,IF(AK14&lt;=datos!$AD$12,datos!$AC$12,IF(AK14&lt;=datos!$AD$13,datos!$AC$13,IF(AK14&lt;=datos!$AD$14,datos!$AC$14,IF(AK14&lt;=datos!$AD$15,datos!$AC$15,"")))))</f>
        <v>Mayor</v>
      </c>
      <c r="AK14" s="108">
        <f>IF(AD14="","",IF(T14=1,IF(AD14="Impacto",R14-(R14*AG14),R14),IF(AD14="Impacto",#REF!-(#REF!*AG14),#REF!)))</f>
        <v>0.8</v>
      </c>
      <c r="AL14" s="109" t="str">
        <f ca="1" t="shared" si="0"/>
        <v>Alto</v>
      </c>
      <c r="AM14" s="254" t="s">
        <v>92</v>
      </c>
      <c r="AN14" s="197" t="s">
        <v>333</v>
      </c>
      <c r="AO14" s="199" t="s">
        <v>332</v>
      </c>
      <c r="AP14" s="186"/>
    </row>
    <row r="15" spans="1:42" ht="84.75" thickBot="1">
      <c r="A15" s="222"/>
      <c r="B15" s="224"/>
      <c r="C15" s="224"/>
      <c r="D15" s="228"/>
      <c r="E15" s="224"/>
      <c r="F15" s="224"/>
      <c r="G15" s="224"/>
      <c r="H15" s="224"/>
      <c r="I15" s="224"/>
      <c r="J15" s="224"/>
      <c r="K15" s="230"/>
      <c r="L15" s="232"/>
      <c r="M15" s="236"/>
      <c r="N15" s="234"/>
      <c r="O15" s="226"/>
      <c r="P15" s="210"/>
      <c r="Q15" s="212"/>
      <c r="R15" s="210" t="e">
        <f>IF(OR(#REF!=datos!$AB$10,#REF!=datos!$AB$16),"",VLOOKUP(#REF!,datos!$AA$10:$AC$21,3,0))</f>
        <v>#REF!</v>
      </c>
      <c r="S15" s="208"/>
      <c r="T15" s="96">
        <v>2</v>
      </c>
      <c r="U15" s="79" t="s">
        <v>325</v>
      </c>
      <c r="V15" s="78" t="s">
        <v>326</v>
      </c>
      <c r="W15" s="78" t="s">
        <v>290</v>
      </c>
      <c r="X15" s="78" t="s">
        <v>327</v>
      </c>
      <c r="Y15" s="78" t="s">
        <v>328</v>
      </c>
      <c r="Z15" s="78" t="s">
        <v>329</v>
      </c>
      <c r="AA15" s="78" t="s">
        <v>330</v>
      </c>
      <c r="AB15" s="78" t="s">
        <v>330</v>
      </c>
      <c r="AC15" s="78" t="s">
        <v>295</v>
      </c>
      <c r="AD15" s="91" t="str">
        <f>IF(AE15="","",VLOOKUP(AE15,datos!$AT$6:$AU$9,2,0))</f>
        <v>Probabilidad</v>
      </c>
      <c r="AE15" s="79" t="s">
        <v>80</v>
      </c>
      <c r="AF15" s="79" t="s">
        <v>84</v>
      </c>
      <c r="AG15" s="87">
        <f>IF(AND(AE15="",AF15=""),"",IF(AE15="",0,VLOOKUP(AE15,datos!$AP$3:$AR$7,3,0))+IF(AF15="",0,VLOOKUP(AF15,datos!$AP$3:$AR$7,3,0)))</f>
        <v>0.4</v>
      </c>
      <c r="AH15" s="110" t="str">
        <f>IF(OR(AI15="",AI15=0),"",IF(AI15&lt;=datos!$AC$3,datos!$AE$3,IF(AI15&lt;=datos!$AC$4,datos!$AE$4,IF(AI15&lt;=datos!$AC$5,datos!$AE$5,IF(AI15&lt;=datos!$AC$6,datos!$AE$6,IF(AI15&lt;=datos!$AC$7,datos!$AE$7,""))))))</f>
        <v>Muy Baja</v>
      </c>
      <c r="AI15" s="111">
        <f>IF(AD15="","",IF(T15=1,IF(AD15="Probabilidad",P15-(P15*AG15),P15),IF(AD15="Probabilidad",AI14-(AI14*AG15),AI14)))</f>
        <v>0.072</v>
      </c>
      <c r="AJ15" s="112" t="str">
        <f>+IF(AK15&lt;=datos!$AD$11,datos!$AC$11,IF(AK15&lt;=datos!$AD$12,datos!$AC$12,IF(AK15&lt;=datos!$AD$13,datos!$AC$13,IF(AK15&lt;=datos!$AD$14,datos!$AC$14,IF(AK15&lt;=datos!$AD$15,datos!$AC$15,"")))))</f>
        <v>Mayor</v>
      </c>
      <c r="AK15" s="111">
        <f>IF(AD15="","",IF(T15=1,IF(AD15="Impacto",R15-(R15*AG15),R15),IF(AD15="Impacto",AK14-(AK14*AG15),AK14)))</f>
        <v>0.8</v>
      </c>
      <c r="AL15" s="112" t="str">
        <f ca="1" t="shared" si="0"/>
        <v>Alto</v>
      </c>
      <c r="AM15" s="255"/>
      <c r="AN15" s="198"/>
      <c r="AO15" s="200"/>
      <c r="AP15" s="187"/>
    </row>
    <row r="16" spans="1:42" ht="120.75" thickBot="1">
      <c r="A16" s="145">
        <v>4</v>
      </c>
      <c r="B16" s="163" t="s">
        <v>31</v>
      </c>
      <c r="C16" s="163" t="s">
        <v>250</v>
      </c>
      <c r="D16" s="164" t="str">
        <f>_xlfn.IFERROR(VLOOKUP(B16,datos!$B$1:$C$21,2,0),"")</f>
        <v>Administrar los bienes de propiedad, planta y equipo de la entidad y la prestación de los servicios administrativos en todos los procesos y sedes en custodia, con el fin de satisfacer las necesidades para el funcionamiento de la entidad durante la vigencia.</v>
      </c>
      <c r="E16" s="163" t="s">
        <v>55</v>
      </c>
      <c r="F16" s="163" t="s">
        <v>334</v>
      </c>
      <c r="G16" s="163" t="s">
        <v>335</v>
      </c>
      <c r="H16" s="163" t="s">
        <v>233</v>
      </c>
      <c r="I16" s="163" t="s">
        <v>336</v>
      </c>
      <c r="J16" s="163" t="s">
        <v>337</v>
      </c>
      <c r="K16" s="163" t="s">
        <v>184</v>
      </c>
      <c r="L16" s="165" t="s">
        <v>57</v>
      </c>
      <c r="M16" s="162" t="s">
        <v>274</v>
      </c>
      <c r="N16" s="166">
        <v>600</v>
      </c>
      <c r="O16" s="167" t="str">
        <f>_xlfn.IFERROR(VLOOKUP(P16,datos!$AC$2:$AE$7,3,0),"")</f>
        <v>Alta</v>
      </c>
      <c r="P16" s="168">
        <f>+IF(OR(N16="",N16=0),"",IF(N16&lt;=datos!$AD$3,datos!$AC$3,IF(AND(N16&gt;datos!$AD$3,N16&lt;=datos!$AD$4),datos!$AC$4,IF(AND(N16&gt;datos!$AD$4,N16&lt;=datos!$AD$5),datos!$AC$5,IF(AND(N16&gt;datos!$AD$5,N16&lt;=datos!$AD$6),datos!$AC$6,IF(N16&gt;datos!$AD$7,datos!$AC$7,0))))))</f>
        <v>0.8</v>
      </c>
      <c r="Q16" s="169" t="str">
        <f>+HLOOKUP(A16,'Impacto Riesgo de Corrupción'!$D$8:$AQ$29,22,0)</f>
        <v>Mayor</v>
      </c>
      <c r="R16" s="168">
        <f>+IF(Q16="","",VLOOKUP(Q16,datos!$AC$12:$AD$15,2,0))</f>
        <v>0.8</v>
      </c>
      <c r="S16" s="170" t="str">
        <f ca="1">_xlfn.IFERROR(INDIRECT("datos!"&amp;HLOOKUP(Q16,calculo_imp,2,FALSE)&amp;VLOOKUP(O16,calculo_prob,2,FALSE)),"")</f>
        <v>Alto</v>
      </c>
      <c r="T16" s="171">
        <v>1</v>
      </c>
      <c r="U16" s="163" t="s">
        <v>338</v>
      </c>
      <c r="V16" s="172" t="s">
        <v>339</v>
      </c>
      <c r="W16" s="172" t="s">
        <v>290</v>
      </c>
      <c r="X16" s="172" t="s">
        <v>340</v>
      </c>
      <c r="Y16" s="172" t="s">
        <v>341</v>
      </c>
      <c r="Z16" s="172" t="s">
        <v>342</v>
      </c>
      <c r="AA16" s="172" t="s">
        <v>343</v>
      </c>
      <c r="AB16" s="172" t="s">
        <v>344</v>
      </c>
      <c r="AC16" s="172" t="s">
        <v>345</v>
      </c>
      <c r="AD16" s="164" t="str">
        <f>IF(AE16="","",VLOOKUP(AE16,datos!$AT$6:$AU$9,2,0))</f>
        <v>Probabilidad</v>
      </c>
      <c r="AE16" s="163" t="s">
        <v>80</v>
      </c>
      <c r="AF16" s="163" t="s">
        <v>84</v>
      </c>
      <c r="AG16" s="173">
        <f>IF(AND(AE16="",AF16=""),"",IF(AE16="",0,VLOOKUP(AE16,datos!$AP$3:$AR$7,3,0))+IF(AF16="",0,VLOOKUP(AF16,datos!$AP$3:$AR$7,3,0)))</f>
        <v>0.4</v>
      </c>
      <c r="AH16" s="174" t="str">
        <f>IF(OR(AI16="",AI16=0),"",IF(AI16&lt;=datos!$AC$3,datos!$AE$3,IF(AI16&lt;=datos!$AC$4,datos!$AE$4,IF(AI16&lt;=datos!$AC$5,datos!$AE$5,IF(AI16&lt;=datos!$AC$6,datos!$AE$6,IF(AI16&lt;=datos!$AC$7,datos!$AE$7,""))))))</f>
        <v>Media</v>
      </c>
      <c r="AI16" s="175">
        <f>IF(AD16="","",IF(T16=1,IF(AD16="Probabilidad",P16-(P16*AG16),P16),IF(AD16="Probabilidad",#REF!-(#REF!*AG16),#REF!)))</f>
        <v>0.48</v>
      </c>
      <c r="AJ16" s="167" t="str">
        <f>+IF(AK16&lt;=datos!$AD$11,datos!$AC$11,IF(AK16&lt;=datos!$AD$12,datos!$AC$12,IF(AK16&lt;=datos!$AD$13,datos!$AC$13,IF(AK16&lt;=datos!$AD$14,datos!$AC$14,IF(AK16&lt;=datos!$AD$15,datos!$AC$15,"")))))</f>
        <v>Mayor</v>
      </c>
      <c r="AK16" s="175">
        <f>IF(AD16="","",IF(T16=1,IF(AD16="Impacto",R16-(R16*AG16),R16),IF(AD16="Impacto",#REF!-(#REF!*AG16),#REF!)))</f>
        <v>0.8</v>
      </c>
      <c r="AL16" s="167" t="str">
        <f ca="1" t="shared" si="0"/>
        <v>Alto</v>
      </c>
      <c r="AM16" s="176" t="s">
        <v>92</v>
      </c>
      <c r="AN16" s="166" t="s">
        <v>346</v>
      </c>
      <c r="AO16" s="177">
        <v>44958</v>
      </c>
      <c r="AP16" s="162" t="s">
        <v>347</v>
      </c>
    </row>
    <row r="17" spans="1:42" ht="120.75" thickBot="1">
      <c r="A17" s="154">
        <v>5</v>
      </c>
      <c r="B17" s="81" t="s">
        <v>25</v>
      </c>
      <c r="C17" s="81" t="s">
        <v>250</v>
      </c>
      <c r="D17" s="90" t="str">
        <f>_xlfn.IFERROR(VLOOKUP(B17,datos!$B$1:$C$21,2,0),"")</f>
        <v>Ejercer la función disciplinaria en primera instancia en la SDS, mediante el seguimiento y gestión eficiente de los procesos disciplinarios hacia los servidores públicos de acuerdo a los principios rectores de la ley disciplinaria.</v>
      </c>
      <c r="E17" s="81" t="s">
        <v>54</v>
      </c>
      <c r="F17" s="81" t="s">
        <v>348</v>
      </c>
      <c r="G17" s="81" t="s">
        <v>349</v>
      </c>
      <c r="H17" s="81" t="s">
        <v>233</v>
      </c>
      <c r="I17" s="81" t="s">
        <v>286</v>
      </c>
      <c r="J17" s="81" t="s">
        <v>350</v>
      </c>
      <c r="K17" s="161" t="s">
        <v>184</v>
      </c>
      <c r="L17" s="151" t="s">
        <v>197</v>
      </c>
      <c r="M17" s="155" t="s">
        <v>12</v>
      </c>
      <c r="N17" s="144">
        <v>142</v>
      </c>
      <c r="O17" s="117" t="str">
        <f>_xlfn.IFERROR(VLOOKUP(P17,datos!$AC$2:$AE$7,3,0),"")</f>
        <v>Media</v>
      </c>
      <c r="P17" s="146">
        <f>+IF(OR(N17="",N17=0),"",IF(N17&lt;=datos!$AD$3,datos!$AC$3,IF(AND(N17&gt;datos!$AD$3,N17&lt;=datos!$AD$4),datos!$AC$4,IF(AND(N17&gt;datos!$AD$4,N17&lt;=datos!$AD$5),datos!$AC$5,IF(AND(N17&gt;datos!$AD$5,N17&lt;=datos!$AD$6),datos!$AC$6,IF(N17&gt;datos!$AD$7,datos!$AC$7,0))))))</f>
        <v>0.6</v>
      </c>
      <c r="Q17" s="178" t="str">
        <f>+HLOOKUP(A17,'Impacto Riesgo de Corrupción'!$D$8:$AQ$29,22,0)</f>
        <v>Mayor</v>
      </c>
      <c r="R17" s="146">
        <f>+IF(Q17="","",VLOOKUP(Q17,datos!$AC$12:$AD$15,2,0))</f>
        <v>0.8</v>
      </c>
      <c r="S17" s="179" t="str">
        <f ca="1">_xlfn.IFERROR(INDIRECT("datos!"&amp;HLOOKUP(Q17,calculo_imp,2,FALSE)&amp;VLOOKUP(O17,calculo_prob,2,FALSE)),"")</f>
        <v>Alto</v>
      </c>
      <c r="T17" s="99">
        <v>1</v>
      </c>
      <c r="U17" s="81" t="s">
        <v>354</v>
      </c>
      <c r="V17" s="80" t="s">
        <v>355</v>
      </c>
      <c r="W17" s="80" t="s">
        <v>356</v>
      </c>
      <c r="X17" s="80" t="s">
        <v>357</v>
      </c>
      <c r="Y17" s="80" t="s">
        <v>358</v>
      </c>
      <c r="Z17" s="80" t="s">
        <v>359</v>
      </c>
      <c r="AA17" s="80" t="s">
        <v>360</v>
      </c>
      <c r="AB17" s="80" t="s">
        <v>361</v>
      </c>
      <c r="AC17" s="80" t="s">
        <v>362</v>
      </c>
      <c r="AD17" s="90" t="str">
        <f>IF(AE17="","",VLOOKUP(AE17,datos!$AT$6:$AU$9,2,0))</f>
        <v>Probabilidad</v>
      </c>
      <c r="AE17" s="81" t="s">
        <v>80</v>
      </c>
      <c r="AF17" s="81" t="s">
        <v>84</v>
      </c>
      <c r="AG17" s="89">
        <f>IF(AND(AE17="",AF17=""),"",IF(AE17="",0,VLOOKUP(AE17,datos!$AP$3:$AR$7,3,0))+IF(AF17="",0,VLOOKUP(AF17,datos!$AP$3:$AR$7,3,0)))</f>
        <v>0.4</v>
      </c>
      <c r="AH17" s="119" t="str">
        <f>IF(OR(AI17="",AI17=0),"",IF(AI17&lt;=datos!$AC$3,datos!$AE$3,IF(AI17&lt;=datos!$AC$4,datos!$AE$4,IF(AI17&lt;=datos!$AC$5,datos!$AE$5,IF(AI17&lt;=datos!$AC$6,datos!$AE$6,IF(AI17&lt;=datos!$AC$7,datos!$AE$7,""))))))</f>
        <v>Baja</v>
      </c>
      <c r="AI17" s="116">
        <f>IF(AD17="","",IF(T17=1,IF(AD17="Probabilidad",P17-(P17*AG17),P17),IF(AD17="Probabilidad",#REF!-(#REF!*AG17),#REF!)))</f>
        <v>0.36</v>
      </c>
      <c r="AJ17" s="117" t="str">
        <f>+IF(AK17&lt;=datos!$AD$11,datos!$AC$11,IF(AK17&lt;=datos!$AD$12,datos!$AC$12,IF(AK17&lt;=datos!$AD$13,datos!$AC$13,IF(AK17&lt;=datos!$AD$14,datos!$AC$14,IF(AK17&lt;=datos!$AD$15,datos!$AC$15,"")))))</f>
        <v>Mayor</v>
      </c>
      <c r="AK17" s="116">
        <f>IF(AD17="","",IF(T17=1,IF(AD17="Impacto",R17-(R17*AG17),R17),IF(AD17="Impacto",#REF!-(#REF!*AG17),#REF!)))</f>
        <v>0.8</v>
      </c>
      <c r="AL17" s="117" t="str">
        <f ca="1" t="shared" si="0"/>
        <v>Alto</v>
      </c>
      <c r="AM17" s="153" t="s">
        <v>92</v>
      </c>
      <c r="AN17" s="141" t="s">
        <v>383</v>
      </c>
      <c r="AO17" s="143">
        <v>45293</v>
      </c>
      <c r="AP17" s="157" t="s">
        <v>384</v>
      </c>
    </row>
    <row r="18" spans="1:42" ht="120">
      <c r="A18" s="221">
        <v>6</v>
      </c>
      <c r="B18" s="223" t="s">
        <v>25</v>
      </c>
      <c r="C18" s="223" t="s">
        <v>250</v>
      </c>
      <c r="D18" s="227" t="str">
        <f>_xlfn.IFERROR(VLOOKUP(B18,datos!$B$1:$C$21,2,0),"")</f>
        <v>Ejercer la función disciplinaria en primera instancia en la SDS, mediante el seguimiento y gestión eficiente de los procesos disciplinarios hacia los servidores públicos de acuerdo a los principios rectores de la ley disciplinaria.</v>
      </c>
      <c r="E18" s="223" t="s">
        <v>54</v>
      </c>
      <c r="F18" s="223" t="s">
        <v>351</v>
      </c>
      <c r="G18" s="223" t="s">
        <v>352</v>
      </c>
      <c r="H18" s="260" t="s">
        <v>233</v>
      </c>
      <c r="I18" s="260" t="s">
        <v>286</v>
      </c>
      <c r="J18" s="223" t="s">
        <v>353</v>
      </c>
      <c r="K18" s="229" t="s">
        <v>184</v>
      </c>
      <c r="L18" s="231" t="s">
        <v>197</v>
      </c>
      <c r="M18" s="235" t="s">
        <v>12</v>
      </c>
      <c r="N18" s="233">
        <v>534</v>
      </c>
      <c r="O18" s="225" t="str">
        <f>_xlfn.IFERROR(VLOOKUP(P18,datos!$AC$2:$AE$7,3,0),"")</f>
        <v>Alta</v>
      </c>
      <c r="P18" s="209">
        <f>+IF(OR(N18="",N18=0),"",IF(N18&lt;=datos!$AD$3,datos!$AC$3,IF(AND(N18&gt;datos!$AD$3,N18&lt;=datos!$AD$4),datos!$AC$4,IF(AND(N18&gt;datos!$AD$4,N18&lt;=datos!$AD$5),datos!$AC$5,IF(AND(N18&gt;datos!$AD$5,N18&lt;=datos!$AD$6),datos!$AC$6,IF(N18&gt;datos!$AD$7,datos!$AC$7,0))))))</f>
        <v>0.8</v>
      </c>
      <c r="Q18" s="211" t="str">
        <f>+HLOOKUP(A18,'Impacto Riesgo de Corrupción'!$D$8:$AQ$29,22,0)</f>
        <v>Mayor</v>
      </c>
      <c r="R18" s="209">
        <f>+IF(Q18="","",VLOOKUP(Q18,datos!$AC$12:$AD$15,2,0))</f>
        <v>0.8</v>
      </c>
      <c r="S18" s="207" t="str">
        <f ca="1">_xlfn.IFERROR(INDIRECT("datos!"&amp;HLOOKUP(Q18,calculo_imp,2,FALSE)&amp;VLOOKUP(O18,calculo_prob,2,FALSE)),"")</f>
        <v>Alto</v>
      </c>
      <c r="T18" s="95">
        <v>1</v>
      </c>
      <c r="U18" s="83" t="s">
        <v>363</v>
      </c>
      <c r="V18" s="82" t="s">
        <v>364</v>
      </c>
      <c r="W18" s="82" t="s">
        <v>365</v>
      </c>
      <c r="X18" s="82" t="s">
        <v>366</v>
      </c>
      <c r="Y18" s="82" t="s">
        <v>367</v>
      </c>
      <c r="Z18" s="82" t="s">
        <v>368</v>
      </c>
      <c r="AA18" s="82" t="s">
        <v>360</v>
      </c>
      <c r="AB18" s="82" t="s">
        <v>369</v>
      </c>
      <c r="AC18" s="82" t="s">
        <v>370</v>
      </c>
      <c r="AD18" s="92" t="str">
        <f>IF(AE18="","",VLOOKUP(AE18,datos!$AT$6:$AU$9,2,0))</f>
        <v>Probabilidad</v>
      </c>
      <c r="AE18" s="83" t="s">
        <v>80</v>
      </c>
      <c r="AF18" s="83" t="s">
        <v>84</v>
      </c>
      <c r="AG18" s="86">
        <f>IF(AND(AE18="",AF18=""),"",IF(AE18="",0,VLOOKUP(AE18,datos!$AP$3:$AR$7,3,0))+IF(AF18="",0,VLOOKUP(AF18,datos!$AP$3:$AR$7,3,0)))</f>
        <v>0.4</v>
      </c>
      <c r="AH18" s="107" t="str">
        <f>IF(OR(AI18="",AI18=0),"",IF(AI18&lt;=datos!$AC$3,datos!$AE$3,IF(AI18&lt;=datos!$AC$4,datos!$AE$4,IF(AI18&lt;=datos!$AC$5,datos!$AE$5,IF(AI18&lt;=datos!$AC$6,datos!$AE$6,IF(AI18&lt;=datos!$AC$7,datos!$AE$7,""))))))</f>
        <v>Media</v>
      </c>
      <c r="AI18" s="108">
        <f>IF(AD18="","",IF(T18=1,IF(AD18="Probabilidad",P18-(P18*AG18),P18),IF(AD18="Probabilidad",#REF!-(#REF!*AG18),#REF!)))</f>
        <v>0.48</v>
      </c>
      <c r="AJ18" s="109" t="str">
        <f>+IF(AK18&lt;=datos!$AD$11,datos!$AC$11,IF(AK18&lt;=datos!$AD$12,datos!$AC$12,IF(AK18&lt;=datos!$AD$13,datos!$AC$13,IF(AK18&lt;=datos!$AD$14,datos!$AC$14,IF(AK18&lt;=datos!$AD$15,datos!$AC$15,"")))))</f>
        <v>Mayor</v>
      </c>
      <c r="AK18" s="108">
        <f>IF(AD18="","",IF(T18=1,IF(AD18="Impacto",R18-(R18*AG18),R18),IF(AD18="Impacto",#REF!-(#REF!*AG18),#REF!)))</f>
        <v>0.8</v>
      </c>
      <c r="AL18" s="109" t="str">
        <f aca="true" ca="1" t="shared" si="1" ref="AL18:AL30">_xlfn.IFERROR(INDIRECT("datos!"&amp;HLOOKUP(AJ18,calculo_imp,2,FALSE)&amp;VLOOKUP(AH18,calculo_prob,2,FALSE)),"")</f>
        <v>Alto</v>
      </c>
      <c r="AM18" s="254" t="s">
        <v>92</v>
      </c>
      <c r="AN18" s="197" t="s">
        <v>385</v>
      </c>
      <c r="AO18" s="199">
        <v>45293</v>
      </c>
      <c r="AP18" s="186" t="s">
        <v>386</v>
      </c>
    </row>
    <row r="19" spans="1:42" ht="120">
      <c r="A19" s="222"/>
      <c r="B19" s="224"/>
      <c r="C19" s="224"/>
      <c r="D19" s="228"/>
      <c r="E19" s="224"/>
      <c r="F19" s="224"/>
      <c r="G19" s="224"/>
      <c r="H19" s="224"/>
      <c r="I19" s="224"/>
      <c r="J19" s="224"/>
      <c r="K19" s="230"/>
      <c r="L19" s="232"/>
      <c r="M19" s="236"/>
      <c r="N19" s="234"/>
      <c r="O19" s="226"/>
      <c r="P19" s="210"/>
      <c r="Q19" s="212"/>
      <c r="R19" s="210" t="e">
        <f>IF(OR(#REF!=datos!$AB$10,#REF!=datos!$AB$16),"",VLOOKUP(#REF!,datos!$AA$10:$AC$21,3,0))</f>
        <v>#REF!</v>
      </c>
      <c r="S19" s="208"/>
      <c r="T19" s="96">
        <v>2</v>
      </c>
      <c r="U19" s="79" t="s">
        <v>371</v>
      </c>
      <c r="V19" s="78" t="s">
        <v>364</v>
      </c>
      <c r="W19" s="78" t="s">
        <v>372</v>
      </c>
      <c r="X19" s="78" t="s">
        <v>373</v>
      </c>
      <c r="Y19" s="78" t="s">
        <v>374</v>
      </c>
      <c r="Z19" s="78" t="s">
        <v>368</v>
      </c>
      <c r="AA19" s="78" t="s">
        <v>360</v>
      </c>
      <c r="AB19" s="78" t="s">
        <v>375</v>
      </c>
      <c r="AC19" s="78" t="s">
        <v>376</v>
      </c>
      <c r="AD19" s="91" t="str">
        <f>IF(AE19="","",VLOOKUP(AE19,datos!$AT$6:$AU$9,2,0))</f>
        <v>Probabilidad</v>
      </c>
      <c r="AE19" s="79" t="s">
        <v>80</v>
      </c>
      <c r="AF19" s="79" t="s">
        <v>84</v>
      </c>
      <c r="AG19" s="87">
        <f>IF(AND(AE19="",AF19=""),"",IF(AE19="",0,VLOOKUP(AE19,datos!$AP$3:$AR$7,3,0))+IF(AF19="",0,VLOOKUP(AF19,datos!$AP$3:$AR$7,3,0)))</f>
        <v>0.4</v>
      </c>
      <c r="AH19" s="110" t="str">
        <f>IF(OR(AI19="",AI19=0),"",IF(AI19&lt;=datos!$AC$3,datos!$AE$3,IF(AI19&lt;=datos!$AC$4,datos!$AE$4,IF(AI19&lt;=datos!$AC$5,datos!$AE$5,IF(AI19&lt;=datos!$AC$6,datos!$AE$6,IF(AI19&lt;=datos!$AC$7,datos!$AE$7,""))))))</f>
        <v>Baja</v>
      </c>
      <c r="AI19" s="111">
        <f aca="true" t="shared" si="2" ref="AI19:AI30">IF(AD19="","",IF(T19=1,IF(AD19="Probabilidad",P19-(P19*AG19),P19),IF(AD19="Probabilidad",AI18-(AI18*AG19),AI18)))</f>
        <v>0.288</v>
      </c>
      <c r="AJ19" s="112" t="str">
        <f>+IF(AK19&lt;=datos!$AD$11,datos!$AC$11,IF(AK19&lt;=datos!$AD$12,datos!$AC$12,IF(AK19&lt;=datos!$AD$13,datos!$AC$13,IF(AK19&lt;=datos!$AD$14,datos!$AC$14,IF(AK19&lt;=datos!$AD$15,datos!$AC$15,"")))))</f>
        <v>Mayor</v>
      </c>
      <c r="AK19" s="111">
        <f aca="true" t="shared" si="3" ref="AK19:AK30">IF(AD19="","",IF(T19=1,IF(AD19="Impacto",R19-(R19*AG19),R19),IF(AD19="Impacto",AK18-(AK18*AG19),AK18)))</f>
        <v>0.8</v>
      </c>
      <c r="AL19" s="112" t="str">
        <f ca="1" t="shared" si="1"/>
        <v>Alto</v>
      </c>
      <c r="AM19" s="255"/>
      <c r="AN19" s="198"/>
      <c r="AO19" s="200"/>
      <c r="AP19" s="187"/>
    </row>
    <row r="20" spans="1:42" ht="120.75" thickBot="1">
      <c r="A20" s="222"/>
      <c r="B20" s="224"/>
      <c r="C20" s="224"/>
      <c r="D20" s="228"/>
      <c r="E20" s="224"/>
      <c r="F20" s="224"/>
      <c r="G20" s="224"/>
      <c r="H20" s="224"/>
      <c r="I20" s="224"/>
      <c r="J20" s="224"/>
      <c r="K20" s="230"/>
      <c r="L20" s="232"/>
      <c r="M20" s="236"/>
      <c r="N20" s="234"/>
      <c r="O20" s="226"/>
      <c r="P20" s="210"/>
      <c r="Q20" s="212"/>
      <c r="R20" s="210" t="e">
        <f>IF(OR(#REF!=datos!$AB$10,#REF!=datos!$AB$16),"",VLOOKUP(#REF!,datos!$AA$10:$AC$21,3,0))</f>
        <v>#REF!</v>
      </c>
      <c r="S20" s="208"/>
      <c r="T20" s="96">
        <v>3</v>
      </c>
      <c r="U20" s="79" t="s">
        <v>377</v>
      </c>
      <c r="V20" s="78" t="s">
        <v>364</v>
      </c>
      <c r="W20" s="78" t="s">
        <v>378</v>
      </c>
      <c r="X20" s="78" t="s">
        <v>379</v>
      </c>
      <c r="Y20" s="78" t="s">
        <v>380</v>
      </c>
      <c r="Z20" s="78" t="s">
        <v>368</v>
      </c>
      <c r="AA20" s="78" t="s">
        <v>360</v>
      </c>
      <c r="AB20" s="78" t="s">
        <v>381</v>
      </c>
      <c r="AC20" s="78" t="s">
        <v>382</v>
      </c>
      <c r="AD20" s="91" t="str">
        <f>IF(AE20="","",VLOOKUP(AE20,datos!$AT$6:$AU$9,2,0))</f>
        <v>Probabilidad</v>
      </c>
      <c r="AE20" s="79" t="s">
        <v>80</v>
      </c>
      <c r="AF20" s="79" t="s">
        <v>84</v>
      </c>
      <c r="AG20" s="87">
        <f>IF(AND(AE20="",AF20=""),"",IF(AE20="",0,VLOOKUP(AE20,datos!$AP$3:$AR$7,3,0))+IF(AF20="",0,VLOOKUP(AF20,datos!$AP$3:$AR$7,3,0)))</f>
        <v>0.4</v>
      </c>
      <c r="AH20" s="110" t="str">
        <f>IF(OR(AI20="",AI20=0),"",IF(AI20&lt;=datos!$AC$3,datos!$AE$3,IF(AI20&lt;=datos!$AC$4,datos!$AE$4,IF(AI20&lt;=datos!$AC$5,datos!$AE$5,IF(AI20&lt;=datos!$AC$6,datos!$AE$6,IF(AI20&lt;=datos!$AC$7,datos!$AE$7,""))))))</f>
        <v>Muy Baja</v>
      </c>
      <c r="AI20" s="111">
        <f t="shared" si="2"/>
        <v>0.17279999999999998</v>
      </c>
      <c r="AJ20" s="112" t="str">
        <f>+IF(AK20&lt;=datos!$AD$11,datos!$AC$11,IF(AK20&lt;=datos!$AD$12,datos!$AC$12,IF(AK20&lt;=datos!$AD$13,datos!$AC$13,IF(AK20&lt;=datos!$AD$14,datos!$AC$14,IF(AK20&lt;=datos!$AD$15,datos!$AC$15,"")))))</f>
        <v>Mayor</v>
      </c>
      <c r="AK20" s="111">
        <f t="shared" si="3"/>
        <v>0.8</v>
      </c>
      <c r="AL20" s="112" t="str">
        <f ca="1" t="shared" si="1"/>
        <v>Alto</v>
      </c>
      <c r="AM20" s="255"/>
      <c r="AN20" s="198"/>
      <c r="AO20" s="200"/>
      <c r="AP20" s="187"/>
    </row>
    <row r="21" spans="1:42" ht="228">
      <c r="A21" s="221">
        <v>7</v>
      </c>
      <c r="B21" s="223" t="s">
        <v>30</v>
      </c>
      <c r="C21" s="223" t="s">
        <v>250</v>
      </c>
      <c r="D21" s="227" t="str">
        <f>_xlfn.IFERROR(VLOOKUP(B21,datos!$B$1:$C$21,2,0),"")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1" s="223" t="s">
        <v>54</v>
      </c>
      <c r="F21" s="223" t="s">
        <v>387</v>
      </c>
      <c r="G21" s="223" t="s">
        <v>388</v>
      </c>
      <c r="H21" s="223" t="s">
        <v>232</v>
      </c>
      <c r="I21" s="223" t="s">
        <v>389</v>
      </c>
      <c r="J21" s="223" t="s">
        <v>390</v>
      </c>
      <c r="K21" s="229" t="s">
        <v>184</v>
      </c>
      <c r="L21" s="231" t="s">
        <v>57</v>
      </c>
      <c r="M21" s="235" t="s">
        <v>274</v>
      </c>
      <c r="N21" s="233">
        <v>150</v>
      </c>
      <c r="O21" s="225" t="str">
        <f>_xlfn.IFERROR(VLOOKUP(P21,datos!$AC$2:$AE$7,3,0),"")</f>
        <v>Media</v>
      </c>
      <c r="P21" s="209">
        <f>+IF(OR(N21="",N21=0),"",IF(N21&lt;=datos!$AD$3,datos!$AC$3,IF(AND(N21&gt;datos!$AD$3,N21&lt;=datos!$AD$4),datos!$AC$4,IF(AND(N21&gt;datos!$AD$4,N21&lt;=datos!$AD$5),datos!$AC$5,IF(AND(N21&gt;datos!$AD$5,N21&lt;=datos!$AD$6),datos!$AC$6,IF(N21&gt;datos!$AD$7,datos!$AC$7,0))))))</f>
        <v>0.6</v>
      </c>
      <c r="Q21" s="211" t="str">
        <f>+HLOOKUP(A21,'Impacto Riesgo de Corrupción'!$D$8:$AQ$29,22,0)</f>
        <v>Mayor</v>
      </c>
      <c r="R21" s="209">
        <f>+IF(Q21="","",VLOOKUP(Q21,datos!$AC$12:$AD$15,2,0))</f>
        <v>0.8</v>
      </c>
      <c r="S21" s="207" t="str">
        <f ca="1">_xlfn.IFERROR(INDIRECT("datos!"&amp;HLOOKUP(Q21,calculo_imp,2,FALSE)&amp;VLOOKUP(O21,calculo_prob,2,FALSE)),"")</f>
        <v>Alto</v>
      </c>
      <c r="T21" s="95">
        <v>1</v>
      </c>
      <c r="U21" s="83" t="s">
        <v>399</v>
      </c>
      <c r="V21" s="82" t="s">
        <v>400</v>
      </c>
      <c r="W21" s="82" t="s">
        <v>401</v>
      </c>
      <c r="X21" s="82" t="s">
        <v>402</v>
      </c>
      <c r="Y21" s="82" t="s">
        <v>403</v>
      </c>
      <c r="Z21" s="82" t="s">
        <v>404</v>
      </c>
      <c r="AA21" s="82" t="s">
        <v>405</v>
      </c>
      <c r="AB21" s="82" t="s">
        <v>406</v>
      </c>
      <c r="AC21" s="82" t="s">
        <v>407</v>
      </c>
      <c r="AD21" s="92" t="str">
        <f>IF(AE21="","",VLOOKUP(AE21,datos!$AT$6:$AU$9,2,0))</f>
        <v>Probabilidad</v>
      </c>
      <c r="AE21" s="83" t="s">
        <v>81</v>
      </c>
      <c r="AF21" s="83" t="s">
        <v>84</v>
      </c>
      <c r="AG21" s="86">
        <f>IF(AND(AE21="",AF21=""),"",IF(AE21="",0,VLOOKUP(AE21,datos!$AP$3:$AR$7,3,0))+IF(AF21="",0,VLOOKUP(AF21,datos!$AP$3:$AR$7,3,0)))</f>
        <v>0.3</v>
      </c>
      <c r="AH21" s="107" t="str">
        <f>IF(OR(AI21="",AI21=0),"",IF(AI21&lt;=datos!$AC$3,datos!$AE$3,IF(AI21&lt;=datos!$AC$4,datos!$AE$4,IF(AI21&lt;=datos!$AC$5,datos!$AE$5,IF(AI21&lt;=datos!$AC$6,datos!$AE$6,IF(AI21&lt;=datos!$AC$7,datos!$AE$7,""))))))</f>
        <v>Media</v>
      </c>
      <c r="AI21" s="108">
        <f>IF(AD21="","",IF(T21=1,IF(AD21="Probabilidad",P21-(P21*AG21),P21),IF(AD21="Probabilidad",#REF!-(#REF!*AG21),#REF!)))</f>
        <v>0.42</v>
      </c>
      <c r="AJ21" s="109" t="str">
        <f>+IF(AK21&lt;=datos!$AD$11,datos!$AC$11,IF(AK21&lt;=datos!$AD$12,datos!$AC$12,IF(AK21&lt;=datos!$AD$13,datos!$AC$13,IF(AK21&lt;=datos!$AD$14,datos!$AC$14,IF(AK21&lt;=datos!$AD$15,datos!$AC$15,"")))))</f>
        <v>Mayor</v>
      </c>
      <c r="AK21" s="108">
        <f>IF(AD21="","",IF(T21=1,IF(AD21="Impacto",R21-(R21*AG21),R21),IF(AD21="Impacto",#REF!-(#REF!*AG21),#REF!)))</f>
        <v>0.8</v>
      </c>
      <c r="AL21" s="109" t="str">
        <f ca="1" t="shared" si="1"/>
        <v>Alto</v>
      </c>
      <c r="AM21" s="254" t="s">
        <v>92</v>
      </c>
      <c r="AN21" s="197" t="s">
        <v>456</v>
      </c>
      <c r="AO21" s="199" t="s">
        <v>457</v>
      </c>
      <c r="AP21" s="186" t="s">
        <v>458</v>
      </c>
    </row>
    <row r="22" spans="1:42" ht="144">
      <c r="A22" s="222"/>
      <c r="B22" s="224"/>
      <c r="C22" s="224"/>
      <c r="D22" s="228"/>
      <c r="E22" s="224"/>
      <c r="F22" s="224"/>
      <c r="G22" s="224"/>
      <c r="H22" s="224"/>
      <c r="I22" s="224"/>
      <c r="J22" s="224"/>
      <c r="K22" s="230"/>
      <c r="L22" s="232"/>
      <c r="M22" s="236"/>
      <c r="N22" s="234"/>
      <c r="O22" s="226"/>
      <c r="P22" s="210"/>
      <c r="Q22" s="212"/>
      <c r="R22" s="210" t="e">
        <f>IF(OR(#REF!=datos!$AB$10,#REF!=datos!$AB$16),"",VLOOKUP(#REF!,datos!$AA$10:$AC$21,3,0))</f>
        <v>#REF!</v>
      </c>
      <c r="S22" s="208"/>
      <c r="T22" s="96">
        <v>2</v>
      </c>
      <c r="U22" s="79" t="s">
        <v>408</v>
      </c>
      <c r="V22" s="78" t="s">
        <v>400</v>
      </c>
      <c r="W22" s="78" t="s">
        <v>409</v>
      </c>
      <c r="X22" s="78" t="s">
        <v>410</v>
      </c>
      <c r="Y22" s="78" t="s">
        <v>411</v>
      </c>
      <c r="Z22" s="78" t="s">
        <v>412</v>
      </c>
      <c r="AA22" s="78" t="s">
        <v>413</v>
      </c>
      <c r="AB22" s="78" t="s">
        <v>414</v>
      </c>
      <c r="AC22" s="78" t="s">
        <v>415</v>
      </c>
      <c r="AD22" s="91" t="str">
        <f>IF(AE22="","",VLOOKUP(AE22,datos!$AT$6:$AU$9,2,0))</f>
        <v>Probabilidad</v>
      </c>
      <c r="AE22" s="79" t="s">
        <v>81</v>
      </c>
      <c r="AF22" s="79" t="s">
        <v>84</v>
      </c>
      <c r="AG22" s="87">
        <f>IF(AND(AE22="",AF22=""),"",IF(AE22="",0,VLOOKUP(AE22,datos!$AP$3:$AR$7,3,0))+IF(AF22="",0,VLOOKUP(AF22,datos!$AP$3:$AR$7,3,0)))</f>
        <v>0.3</v>
      </c>
      <c r="AH22" s="110" t="str">
        <f>IF(OR(AI22="",AI22=0),"",IF(AI22&lt;=datos!$AC$3,datos!$AE$3,IF(AI22&lt;=datos!$AC$4,datos!$AE$4,IF(AI22&lt;=datos!$AC$5,datos!$AE$5,IF(AI22&lt;=datos!$AC$6,datos!$AE$6,IF(AI22&lt;=datos!$AC$7,datos!$AE$7,""))))))</f>
        <v>Baja</v>
      </c>
      <c r="AI22" s="111">
        <f t="shared" si="2"/>
        <v>0.294</v>
      </c>
      <c r="AJ22" s="112" t="str">
        <f>+IF(AK22&lt;=datos!$AD$11,datos!$AC$11,IF(AK22&lt;=datos!$AD$12,datos!$AC$12,IF(AK22&lt;=datos!$AD$13,datos!$AC$13,IF(AK22&lt;=datos!$AD$14,datos!$AC$14,IF(AK22&lt;=datos!$AD$15,datos!$AC$15,"")))))</f>
        <v>Mayor</v>
      </c>
      <c r="AK22" s="111">
        <f t="shared" si="3"/>
        <v>0.8</v>
      </c>
      <c r="AL22" s="112" t="str">
        <f ca="1" t="shared" si="1"/>
        <v>Alto</v>
      </c>
      <c r="AM22" s="255"/>
      <c r="AN22" s="198"/>
      <c r="AO22" s="200"/>
      <c r="AP22" s="187"/>
    </row>
    <row r="23" spans="1:42" ht="204.75" thickBot="1">
      <c r="A23" s="222"/>
      <c r="B23" s="224"/>
      <c r="C23" s="224"/>
      <c r="D23" s="228"/>
      <c r="E23" s="224"/>
      <c r="F23" s="224"/>
      <c r="G23" s="224"/>
      <c r="H23" s="224"/>
      <c r="I23" s="224"/>
      <c r="J23" s="224"/>
      <c r="K23" s="230"/>
      <c r="L23" s="232"/>
      <c r="M23" s="236"/>
      <c r="N23" s="234"/>
      <c r="O23" s="226"/>
      <c r="P23" s="210"/>
      <c r="Q23" s="212"/>
      <c r="R23" s="210" t="e">
        <f>IF(OR(#REF!=datos!$AB$10,#REF!=datos!$AB$16),"",VLOOKUP(#REF!,datos!$AA$10:$AC$21,3,0))</f>
        <v>#REF!</v>
      </c>
      <c r="S23" s="208"/>
      <c r="T23" s="96">
        <v>3</v>
      </c>
      <c r="U23" s="79" t="s">
        <v>416</v>
      </c>
      <c r="V23" s="78" t="s">
        <v>400</v>
      </c>
      <c r="W23" s="78" t="s">
        <v>417</v>
      </c>
      <c r="X23" s="78" t="s">
        <v>418</v>
      </c>
      <c r="Y23" s="78" t="s">
        <v>419</v>
      </c>
      <c r="Z23" s="78" t="s">
        <v>420</v>
      </c>
      <c r="AA23" s="78" t="s">
        <v>421</v>
      </c>
      <c r="AB23" s="78" t="s">
        <v>422</v>
      </c>
      <c r="AC23" s="78" t="s">
        <v>423</v>
      </c>
      <c r="AD23" s="91" t="str">
        <f>IF(AE23="","",VLOOKUP(AE23,datos!$AT$6:$AU$9,2,0))</f>
        <v>Probabilidad</v>
      </c>
      <c r="AE23" s="79" t="s">
        <v>81</v>
      </c>
      <c r="AF23" s="79" t="s">
        <v>84</v>
      </c>
      <c r="AG23" s="87">
        <f>IF(AND(AE23="",AF23=""),"",IF(AE23="",0,VLOOKUP(AE23,datos!$AP$3:$AR$7,3,0))+IF(AF23="",0,VLOOKUP(AF23,datos!$AP$3:$AR$7,3,0)))</f>
        <v>0.3</v>
      </c>
      <c r="AH23" s="110" t="str">
        <f>IF(OR(AI23="",AI23=0),"",IF(AI23&lt;=datos!$AC$3,datos!$AE$3,IF(AI23&lt;=datos!$AC$4,datos!$AE$4,IF(AI23&lt;=datos!$AC$5,datos!$AE$5,IF(AI23&lt;=datos!$AC$6,datos!$AE$6,IF(AI23&lt;=datos!$AC$7,datos!$AE$7,""))))))</f>
        <v>Baja</v>
      </c>
      <c r="AI23" s="111">
        <f t="shared" si="2"/>
        <v>0.20579999999999998</v>
      </c>
      <c r="AJ23" s="112" t="str">
        <f>+IF(AK23&lt;=datos!$AD$11,datos!$AC$11,IF(AK23&lt;=datos!$AD$12,datos!$AC$12,IF(AK23&lt;=datos!$AD$13,datos!$AC$13,IF(AK23&lt;=datos!$AD$14,datos!$AC$14,IF(AK23&lt;=datos!$AD$15,datos!$AC$15,"")))))</f>
        <v>Mayor</v>
      </c>
      <c r="AK23" s="111">
        <f t="shared" si="3"/>
        <v>0.8</v>
      </c>
      <c r="AL23" s="112" t="str">
        <f ca="1" t="shared" si="1"/>
        <v>Alto</v>
      </c>
      <c r="AM23" s="255"/>
      <c r="AN23" s="198"/>
      <c r="AO23" s="200"/>
      <c r="AP23" s="187"/>
    </row>
    <row r="24" spans="1:42" ht="132.75" thickBot="1">
      <c r="A24" s="145">
        <v>8</v>
      </c>
      <c r="B24" s="83" t="s">
        <v>30</v>
      </c>
      <c r="C24" s="83" t="s">
        <v>250</v>
      </c>
      <c r="D24" s="92" t="str">
        <f>_xlfn.IFERROR(VLOOKUP(B24,datos!$B$1:$C$21,2,0),"")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4" s="83" t="s">
        <v>54</v>
      </c>
      <c r="F24" s="83" t="s">
        <v>391</v>
      </c>
      <c r="G24" s="83" t="s">
        <v>392</v>
      </c>
      <c r="H24" s="83" t="s">
        <v>233</v>
      </c>
      <c r="I24" s="83" t="s">
        <v>393</v>
      </c>
      <c r="J24" s="83" t="s">
        <v>394</v>
      </c>
      <c r="K24" s="160" t="s">
        <v>184</v>
      </c>
      <c r="L24" s="148" t="s">
        <v>57</v>
      </c>
      <c r="M24" s="147" t="s">
        <v>274</v>
      </c>
      <c r="N24" s="149">
        <v>1500</v>
      </c>
      <c r="O24" s="109" t="str">
        <f>_xlfn.IFERROR(VLOOKUP(P24,datos!$AC$2:$AE$7,3,0),"")</f>
        <v>Alta</v>
      </c>
      <c r="P24" s="150">
        <f>+IF(OR(N24="",N24=0),"",IF(N24&lt;=datos!$AD$3,datos!$AC$3,IF(AND(N24&gt;datos!$AD$3,N24&lt;=datos!$AD$4),datos!$AC$4,IF(AND(N24&gt;datos!$AD$4,N24&lt;=datos!$AD$5),datos!$AC$5,IF(AND(N24&gt;datos!$AD$5,N24&lt;=datos!$AD$6),datos!$AC$6,IF(N24&gt;datos!$AD$7,datos!$AC$7,0))))))</f>
        <v>0.8</v>
      </c>
      <c r="Q24" s="159" t="str">
        <f>+HLOOKUP(A24,'Impacto Riesgo de Corrupción'!$D$8:$AQ$29,22,0)</f>
        <v>Mayor</v>
      </c>
      <c r="R24" s="150">
        <f>+IF(Q24="","",VLOOKUP(Q24,datos!$AC$12:$AD$15,2,0))</f>
        <v>0.8</v>
      </c>
      <c r="S24" s="158" t="str">
        <f ca="1">_xlfn.IFERROR(INDIRECT("datos!"&amp;HLOOKUP(Q24,calculo_imp,2,FALSE)&amp;VLOOKUP(O24,calculo_prob,2,FALSE)),"")</f>
        <v>Alto</v>
      </c>
      <c r="T24" s="95">
        <v>1</v>
      </c>
      <c r="U24" s="83" t="s">
        <v>424</v>
      </c>
      <c r="V24" s="82" t="s">
        <v>400</v>
      </c>
      <c r="W24" s="82" t="s">
        <v>425</v>
      </c>
      <c r="X24" s="82" t="s">
        <v>426</v>
      </c>
      <c r="Y24" s="82" t="s">
        <v>427</v>
      </c>
      <c r="Z24" s="82" t="s">
        <v>428</v>
      </c>
      <c r="AA24" s="82" t="s">
        <v>429</v>
      </c>
      <c r="AB24" s="82" t="s">
        <v>430</v>
      </c>
      <c r="AC24" s="82" t="s">
        <v>431</v>
      </c>
      <c r="AD24" s="92" t="str">
        <f>IF(AE24="","",VLOOKUP(AE24,datos!$AT$6:$AU$9,2,0))</f>
        <v>Probabilidad</v>
      </c>
      <c r="AE24" s="83" t="s">
        <v>81</v>
      </c>
      <c r="AF24" s="83" t="s">
        <v>84</v>
      </c>
      <c r="AG24" s="86">
        <f>IF(AND(AE24="",AF24=""),"",IF(AE24="",0,VLOOKUP(AE24,datos!$AP$3:$AR$7,3,0))+IF(AF24="",0,VLOOKUP(AF24,datos!$AP$3:$AR$7,3,0)))</f>
        <v>0.3</v>
      </c>
      <c r="AH24" s="107" t="str">
        <f>IF(OR(AI24="",AI24=0),"",IF(AI24&lt;=datos!$AC$3,datos!$AE$3,IF(AI24&lt;=datos!$AC$4,datos!$AE$4,IF(AI24&lt;=datos!$AC$5,datos!$AE$5,IF(AI24&lt;=datos!$AC$6,datos!$AE$6,IF(AI24&lt;=datos!$AC$7,datos!$AE$7,""))))))</f>
        <v>Media</v>
      </c>
      <c r="AI24" s="108">
        <f>IF(AD24="","",IF(T24=1,IF(AD24="Probabilidad",P24-(P24*AG24),P24),IF(AD24="Probabilidad",#REF!-(#REF!*AG24),#REF!)))</f>
        <v>0.56</v>
      </c>
      <c r="AJ24" s="109" t="str">
        <f>+IF(AK24&lt;=datos!$AD$11,datos!$AC$11,IF(AK24&lt;=datos!$AD$12,datos!$AC$12,IF(AK24&lt;=datos!$AD$13,datos!$AC$13,IF(AK24&lt;=datos!$AD$14,datos!$AC$14,IF(AK24&lt;=datos!$AD$15,datos!$AC$15,"")))))</f>
        <v>Mayor</v>
      </c>
      <c r="AK24" s="108">
        <f>IF(AD24="","",IF(T24=1,IF(AD24="Impacto",R24-(R24*AG24),R24),IF(AD24="Impacto",#REF!-(#REF!*AG24),#REF!)))</f>
        <v>0.8</v>
      </c>
      <c r="AL24" s="109" t="str">
        <f ca="1" t="shared" si="1"/>
        <v>Alto</v>
      </c>
      <c r="AM24" s="152" t="s">
        <v>92</v>
      </c>
      <c r="AN24" s="140" t="s">
        <v>456</v>
      </c>
      <c r="AO24" s="142" t="s">
        <v>457</v>
      </c>
      <c r="AP24" s="156" t="s">
        <v>458</v>
      </c>
    </row>
    <row r="25" spans="1:42" ht="84">
      <c r="A25" s="221">
        <v>9</v>
      </c>
      <c r="B25" s="223" t="s">
        <v>30</v>
      </c>
      <c r="C25" s="223" t="s">
        <v>250</v>
      </c>
      <c r="D25" s="227" t="str">
        <f>_xlfn.IFERROR(VLOOKUP(B25,datos!$B$1:$C$21,2,0),"")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5" s="223" t="s">
        <v>54</v>
      </c>
      <c r="F25" s="223" t="s">
        <v>395</v>
      </c>
      <c r="G25" s="223" t="s">
        <v>392</v>
      </c>
      <c r="H25" s="223" t="s">
        <v>232</v>
      </c>
      <c r="I25" s="223" t="s">
        <v>389</v>
      </c>
      <c r="J25" s="223" t="s">
        <v>396</v>
      </c>
      <c r="K25" s="229" t="s">
        <v>184</v>
      </c>
      <c r="L25" s="231" t="s">
        <v>57</v>
      </c>
      <c r="M25" s="235" t="s">
        <v>274</v>
      </c>
      <c r="N25" s="233">
        <v>1300</v>
      </c>
      <c r="O25" s="225" t="str">
        <f>_xlfn.IFERROR(VLOOKUP(P25,datos!$AC$2:$AE$7,3,0),"")</f>
        <v>Alta</v>
      </c>
      <c r="P25" s="209">
        <f>+IF(OR(N25="",N25=0),"",IF(N25&lt;=datos!$AD$3,datos!$AC$3,IF(AND(N25&gt;datos!$AD$3,N25&lt;=datos!$AD$4),datos!$AC$4,IF(AND(N25&gt;datos!$AD$4,N25&lt;=datos!$AD$5),datos!$AC$5,IF(AND(N25&gt;datos!$AD$5,N25&lt;=datos!$AD$6),datos!$AC$6,IF(N25&gt;datos!$AD$7,datos!$AC$7,0))))))</f>
        <v>0.8</v>
      </c>
      <c r="Q25" s="211" t="str">
        <f>+HLOOKUP(A25,'Impacto Riesgo de Corrupción'!$D$8:$AQ$29,22,0)</f>
        <v>Mayor</v>
      </c>
      <c r="R25" s="209">
        <f>+IF(Q25="","",VLOOKUP(Q25,datos!$AC$12:$AD$15,2,0))</f>
        <v>0.8</v>
      </c>
      <c r="S25" s="207" t="str">
        <f ca="1">_xlfn.IFERROR(INDIRECT("datos!"&amp;HLOOKUP(Q25,calculo_imp,2,FALSE)&amp;VLOOKUP(O25,calculo_prob,2,FALSE)),"")</f>
        <v>Alto</v>
      </c>
      <c r="T25" s="95">
        <v>1</v>
      </c>
      <c r="U25" s="83" t="s">
        <v>432</v>
      </c>
      <c r="V25" s="82" t="s">
        <v>433</v>
      </c>
      <c r="W25" s="82" t="s">
        <v>434</v>
      </c>
      <c r="X25" s="82" t="s">
        <v>435</v>
      </c>
      <c r="Y25" s="82" t="s">
        <v>436</v>
      </c>
      <c r="Z25" s="82" t="s">
        <v>437</v>
      </c>
      <c r="AA25" s="82" t="s">
        <v>438</v>
      </c>
      <c r="AB25" s="82" t="s">
        <v>439</v>
      </c>
      <c r="AC25" s="82" t="s">
        <v>431</v>
      </c>
      <c r="AD25" s="92" t="str">
        <f>IF(AE25="","",VLOOKUP(AE25,datos!$AT$6:$AU$9,2,0))</f>
        <v>Probabilidad</v>
      </c>
      <c r="AE25" s="83" t="s">
        <v>81</v>
      </c>
      <c r="AF25" s="83" t="s">
        <v>84</v>
      </c>
      <c r="AG25" s="86">
        <f>IF(AND(AE25="",AF25=""),"",IF(AE25="",0,VLOOKUP(AE25,datos!$AP$3:$AR$7,3,0))+IF(AF25="",0,VLOOKUP(AF25,datos!$AP$3:$AR$7,3,0)))</f>
        <v>0.3</v>
      </c>
      <c r="AH25" s="107" t="str">
        <f>IF(OR(AI25="",AI25=0),"",IF(AI25&lt;=datos!$AC$3,datos!$AE$3,IF(AI25&lt;=datos!$AC$4,datos!$AE$4,IF(AI25&lt;=datos!$AC$5,datos!$AE$5,IF(AI25&lt;=datos!$AC$6,datos!$AE$6,IF(AI25&lt;=datos!$AC$7,datos!$AE$7,""))))))</f>
        <v>Media</v>
      </c>
      <c r="AI25" s="108">
        <f>IF(AD25="","",IF(T25=1,IF(AD25="Probabilidad",P25-(P25*AG25),P25),IF(AD25="Probabilidad",#REF!-(#REF!*AG25),#REF!)))</f>
        <v>0.56</v>
      </c>
      <c r="AJ25" s="109" t="str">
        <f>+IF(AK25&lt;=datos!$AD$11,datos!$AC$11,IF(AK25&lt;=datos!$AD$12,datos!$AC$12,IF(AK25&lt;=datos!$AD$13,datos!$AC$13,IF(AK25&lt;=datos!$AD$14,datos!$AC$14,IF(AK25&lt;=datos!$AD$15,datos!$AC$15,"")))))</f>
        <v>Mayor</v>
      </c>
      <c r="AK25" s="108">
        <f>IF(AD25="","",IF(T25=1,IF(AD25="Impacto",R25-(R25*AG25),R25),IF(AD25="Impacto",#REF!-(#REF!*AG25),#REF!)))</f>
        <v>0.8</v>
      </c>
      <c r="AL25" s="109" t="str">
        <f ca="1" t="shared" si="1"/>
        <v>Alto</v>
      </c>
      <c r="AM25" s="254" t="s">
        <v>92</v>
      </c>
      <c r="AN25" s="197" t="s">
        <v>459</v>
      </c>
      <c r="AO25" s="199" t="s">
        <v>457</v>
      </c>
      <c r="AP25" s="186" t="s">
        <v>458</v>
      </c>
    </row>
    <row r="26" spans="1:42" ht="108.75" thickBot="1">
      <c r="A26" s="222"/>
      <c r="B26" s="224"/>
      <c r="C26" s="224"/>
      <c r="D26" s="228"/>
      <c r="E26" s="224"/>
      <c r="F26" s="224"/>
      <c r="G26" s="224"/>
      <c r="H26" s="224"/>
      <c r="I26" s="224"/>
      <c r="J26" s="224"/>
      <c r="K26" s="230"/>
      <c r="L26" s="232"/>
      <c r="M26" s="236"/>
      <c r="N26" s="234"/>
      <c r="O26" s="226"/>
      <c r="P26" s="210"/>
      <c r="Q26" s="212"/>
      <c r="R26" s="210" t="e">
        <f>IF(OR(#REF!=datos!$AB$10,#REF!=datos!$AB$16),"",VLOOKUP(#REF!,datos!$AA$10:$AC$21,3,0))</f>
        <v>#REF!</v>
      </c>
      <c r="S26" s="208"/>
      <c r="T26" s="96">
        <v>2</v>
      </c>
      <c r="U26" s="79" t="s">
        <v>440</v>
      </c>
      <c r="V26" s="78" t="s">
        <v>441</v>
      </c>
      <c r="W26" s="78" t="s">
        <v>442</v>
      </c>
      <c r="X26" s="78" t="s">
        <v>443</v>
      </c>
      <c r="Y26" s="78" t="s">
        <v>444</v>
      </c>
      <c r="Z26" s="78" t="s">
        <v>445</v>
      </c>
      <c r="AA26" s="78" t="s">
        <v>446</v>
      </c>
      <c r="AB26" s="78" t="s">
        <v>447</v>
      </c>
      <c r="AC26" s="78" t="s">
        <v>431</v>
      </c>
      <c r="AD26" s="91" t="str">
        <f>IF(AE26="","",VLOOKUP(AE26,datos!$AT$6:$AU$9,2,0))</f>
        <v>Probabilidad</v>
      </c>
      <c r="AE26" s="79" t="s">
        <v>81</v>
      </c>
      <c r="AF26" s="79" t="s">
        <v>84</v>
      </c>
      <c r="AG26" s="87">
        <f>IF(AND(AE26="",AF26=""),"",IF(AE26="",0,VLOOKUP(AE26,datos!$AP$3:$AR$7,3,0))+IF(AF26="",0,VLOOKUP(AF26,datos!$AP$3:$AR$7,3,0)))</f>
        <v>0.3</v>
      </c>
      <c r="AH26" s="110" t="str">
        <f>IF(OR(AI26="",AI26=0),"",IF(AI26&lt;=datos!$AC$3,datos!$AE$3,IF(AI26&lt;=datos!$AC$4,datos!$AE$4,IF(AI26&lt;=datos!$AC$5,datos!$AE$5,IF(AI26&lt;=datos!$AC$6,datos!$AE$6,IF(AI26&lt;=datos!$AC$7,datos!$AE$7,""))))))</f>
        <v>Baja</v>
      </c>
      <c r="AI26" s="111">
        <f t="shared" si="2"/>
        <v>0.392</v>
      </c>
      <c r="AJ26" s="112" t="str">
        <f>+IF(AK26&lt;=datos!$AD$11,datos!$AC$11,IF(AK26&lt;=datos!$AD$12,datos!$AC$12,IF(AK26&lt;=datos!$AD$13,datos!$AC$13,IF(AK26&lt;=datos!$AD$14,datos!$AC$14,IF(AK26&lt;=datos!$AD$15,datos!$AC$15,"")))))</f>
        <v>Mayor</v>
      </c>
      <c r="AK26" s="111">
        <f t="shared" si="3"/>
        <v>0.8</v>
      </c>
      <c r="AL26" s="112" t="str">
        <f ca="1" t="shared" si="1"/>
        <v>Alto</v>
      </c>
      <c r="AM26" s="255"/>
      <c r="AN26" s="198"/>
      <c r="AO26" s="200"/>
      <c r="AP26" s="187"/>
    </row>
    <row r="27" spans="1:42" ht="120.75" thickBot="1">
      <c r="A27" s="145">
        <v>10</v>
      </c>
      <c r="B27" s="83" t="s">
        <v>30</v>
      </c>
      <c r="C27" s="83" t="s">
        <v>250</v>
      </c>
      <c r="D27" s="92" t="str">
        <f>_xlfn.IFERROR(VLOOKUP(B27,datos!$B$1:$C$21,2,0),"")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27" s="83" t="s">
        <v>54</v>
      </c>
      <c r="F27" s="83" t="s">
        <v>397</v>
      </c>
      <c r="G27" s="83" t="s">
        <v>392</v>
      </c>
      <c r="H27" s="83" t="s">
        <v>232</v>
      </c>
      <c r="I27" s="83" t="s">
        <v>393</v>
      </c>
      <c r="J27" s="83" t="s">
        <v>398</v>
      </c>
      <c r="K27" s="160" t="s">
        <v>184</v>
      </c>
      <c r="L27" s="148" t="s">
        <v>57</v>
      </c>
      <c r="M27" s="147" t="s">
        <v>274</v>
      </c>
      <c r="N27" s="149">
        <v>20</v>
      </c>
      <c r="O27" s="109" t="str">
        <f>_xlfn.IFERROR(VLOOKUP(P27,datos!$AC$2:$AE$7,3,0),"")</f>
        <v>Baja</v>
      </c>
      <c r="P27" s="150">
        <f>+IF(OR(N27="",N27=0),"",IF(N27&lt;=datos!$AD$3,datos!$AC$3,IF(AND(N27&gt;datos!$AD$3,N27&lt;=datos!$AD$4),datos!$AC$4,IF(AND(N27&gt;datos!$AD$4,N27&lt;=datos!$AD$5),datos!$AC$5,IF(AND(N27&gt;datos!$AD$5,N27&lt;=datos!$AD$6),datos!$AC$6,IF(N27&gt;datos!$AD$7,datos!$AC$7,0))))))</f>
        <v>0.4</v>
      </c>
      <c r="Q27" s="159" t="str">
        <f>+HLOOKUP(A27,'Impacto Riesgo de Corrupción'!$D$8:$AQ$29,22,0)</f>
        <v>Mayor</v>
      </c>
      <c r="R27" s="150">
        <f>+IF(Q27="","",VLOOKUP(Q27,datos!$AC$12:$AD$15,2,0))</f>
        <v>0.8</v>
      </c>
      <c r="S27" s="158" t="str">
        <f ca="1">_xlfn.IFERROR(INDIRECT("datos!"&amp;HLOOKUP(Q27,calculo_imp,2,FALSE)&amp;VLOOKUP(O27,calculo_prob,2,FALSE)),"")</f>
        <v>Alto</v>
      </c>
      <c r="T27" s="95">
        <v>1</v>
      </c>
      <c r="U27" s="83" t="s">
        <v>448</v>
      </c>
      <c r="V27" s="82" t="s">
        <v>449</v>
      </c>
      <c r="W27" s="82" t="s">
        <v>450</v>
      </c>
      <c r="X27" s="82" t="s">
        <v>451</v>
      </c>
      <c r="Y27" s="82" t="s">
        <v>452</v>
      </c>
      <c r="Z27" s="82" t="s">
        <v>453</v>
      </c>
      <c r="AA27" s="82" t="s">
        <v>454</v>
      </c>
      <c r="AB27" s="82" t="s">
        <v>455</v>
      </c>
      <c r="AC27" s="82" t="s">
        <v>431</v>
      </c>
      <c r="AD27" s="92" t="str">
        <f>IF(AE27="","",VLOOKUP(AE27,datos!$AT$6:$AU$9,2,0))</f>
        <v>Probabilidad</v>
      </c>
      <c r="AE27" s="83" t="s">
        <v>81</v>
      </c>
      <c r="AF27" s="83" t="s">
        <v>84</v>
      </c>
      <c r="AG27" s="86">
        <f>IF(AND(AE27="",AF27=""),"",IF(AE27="",0,VLOOKUP(AE27,datos!$AP$3:$AR$7,3,0))+IF(AF27="",0,VLOOKUP(AF27,datos!$AP$3:$AR$7,3,0)))</f>
        <v>0.3</v>
      </c>
      <c r="AH27" s="107" t="str">
        <f>IF(OR(AI27="",AI27=0),"",IF(AI27&lt;=datos!$AC$3,datos!$AE$3,IF(AI27&lt;=datos!$AC$4,datos!$AE$4,IF(AI27&lt;=datos!$AC$5,datos!$AE$5,IF(AI27&lt;=datos!$AC$6,datos!$AE$6,IF(AI27&lt;=datos!$AC$7,datos!$AE$7,""))))))</f>
        <v>Baja</v>
      </c>
      <c r="AI27" s="108">
        <f>IF(AD27="","",IF(T27=1,IF(AD27="Probabilidad",P27-(P27*AG27),P27),IF(AD27="Probabilidad",#REF!-(#REF!*AG27),#REF!)))</f>
        <v>0.28</v>
      </c>
      <c r="AJ27" s="109" t="str">
        <f>+IF(AK27&lt;=datos!$AD$11,datos!$AC$11,IF(AK27&lt;=datos!$AD$12,datos!$AC$12,IF(AK27&lt;=datos!$AD$13,datos!$AC$13,IF(AK27&lt;=datos!$AD$14,datos!$AC$14,IF(AK27&lt;=datos!$AD$15,datos!$AC$15,"")))))</f>
        <v>Mayor</v>
      </c>
      <c r="AK27" s="108">
        <f>IF(AD27="","",IF(T27=1,IF(AD27="Impacto",R27-(R27*AG27),R27),IF(AD27="Impacto",#REF!-(#REF!*AG27),#REF!)))</f>
        <v>0.8</v>
      </c>
      <c r="AL27" s="109" t="str">
        <f ca="1" t="shared" si="1"/>
        <v>Alto</v>
      </c>
      <c r="AM27" s="152" t="s">
        <v>92</v>
      </c>
      <c r="AN27" s="140" t="s">
        <v>459</v>
      </c>
      <c r="AO27" s="142" t="s">
        <v>457</v>
      </c>
      <c r="AP27" s="156" t="s">
        <v>458</v>
      </c>
    </row>
    <row r="28" spans="1:42" ht="72">
      <c r="A28" s="221">
        <v>11</v>
      </c>
      <c r="B28" s="223" t="s">
        <v>27</v>
      </c>
      <c r="C28" s="223" t="s">
        <v>250</v>
      </c>
      <c r="D28" s="227" t="str">
        <f>_xlfn.IFERROR(VLOOKUP(B28,datos!$B$1:$C$21,2,0),"")</f>
        <v>Evaluar en la Secretaria Distrital de Salud, los sistemas de gestión y control, mediante metodologías de auditoría y de seguimiento, promoviendo la cultura del autocontrol, mejoramiento continuo y acciones eficaces en las líneas de defensa.</v>
      </c>
      <c r="E28" s="223" t="s">
        <v>55</v>
      </c>
      <c r="F28" s="223" t="s">
        <v>460</v>
      </c>
      <c r="G28" s="223" t="s">
        <v>461</v>
      </c>
      <c r="H28" s="223" t="s">
        <v>233</v>
      </c>
      <c r="I28" s="223" t="s">
        <v>462</v>
      </c>
      <c r="J28" s="223" t="s">
        <v>463</v>
      </c>
      <c r="K28" s="229" t="s">
        <v>184</v>
      </c>
      <c r="L28" s="231" t="s">
        <v>57</v>
      </c>
      <c r="M28" s="235" t="s">
        <v>274</v>
      </c>
      <c r="N28" s="233">
        <v>41</v>
      </c>
      <c r="O28" s="225" t="str">
        <f>_xlfn.IFERROR(VLOOKUP(P28,datos!$AC$2:$AE$7,3,0),"")</f>
        <v>Media</v>
      </c>
      <c r="P28" s="209">
        <f>+IF(OR(N28="",N28=0),"",IF(N28&lt;=datos!$AD$3,datos!$AC$3,IF(AND(N28&gt;datos!$AD$3,N28&lt;=datos!$AD$4),datos!$AC$4,IF(AND(N28&gt;datos!$AD$4,N28&lt;=datos!$AD$5),datos!$AC$5,IF(AND(N28&gt;datos!$AD$5,N28&lt;=datos!$AD$6),datos!$AC$6,IF(N28&gt;datos!$AD$7,datos!$AC$7,0))))))</f>
        <v>0.6</v>
      </c>
      <c r="Q28" s="211" t="str">
        <f>+HLOOKUP(A28,'Impacto Riesgo de Corrupción'!$D$8:$AQ$29,22,0)</f>
        <v>Mayor</v>
      </c>
      <c r="R28" s="209">
        <f>+IF(Q28="","",VLOOKUP(Q28,datos!$AC$12:$AD$15,2,0))</f>
        <v>0.8</v>
      </c>
      <c r="S28" s="207" t="str">
        <f ca="1">_xlfn.IFERROR(INDIRECT("datos!"&amp;HLOOKUP(Q28,calculo_imp,2,FALSE)&amp;VLOOKUP(O28,calculo_prob,2,FALSE)),"")</f>
        <v>Alto</v>
      </c>
      <c r="T28" s="95">
        <v>1</v>
      </c>
      <c r="U28" s="83" t="s">
        <v>464</v>
      </c>
      <c r="V28" s="82" t="s">
        <v>465</v>
      </c>
      <c r="W28" s="82" t="s">
        <v>466</v>
      </c>
      <c r="X28" s="82" t="s">
        <v>467</v>
      </c>
      <c r="Y28" s="82" t="s">
        <v>468</v>
      </c>
      <c r="Z28" s="82" t="s">
        <v>469</v>
      </c>
      <c r="AA28" s="82" t="s">
        <v>470</v>
      </c>
      <c r="AB28" s="82" t="s">
        <v>471</v>
      </c>
      <c r="AC28" s="82" t="s">
        <v>472</v>
      </c>
      <c r="AD28" s="92" t="str">
        <f>IF(AE28="","",VLOOKUP(AE28,datos!$AT$6:$AU$9,2,0))</f>
        <v>Probabilidad</v>
      </c>
      <c r="AE28" s="83" t="s">
        <v>80</v>
      </c>
      <c r="AF28" s="83" t="s">
        <v>84</v>
      </c>
      <c r="AG28" s="86">
        <f>IF(AND(AE28="",AF28=""),"",IF(AE28="",0,VLOOKUP(AE28,datos!$AP$3:$AR$7,3,0))+IF(AF28="",0,VLOOKUP(AF28,datos!$AP$3:$AR$7,3,0)))</f>
        <v>0.4</v>
      </c>
      <c r="AH28" s="107" t="str">
        <f>IF(OR(AI28="",AI28=0),"",IF(AI28&lt;=datos!$AC$3,datos!$AE$3,IF(AI28&lt;=datos!$AC$4,datos!$AE$4,IF(AI28&lt;=datos!$AC$5,datos!$AE$5,IF(AI28&lt;=datos!$AC$6,datos!$AE$6,IF(AI28&lt;=datos!$AC$7,datos!$AE$7,""))))))</f>
        <v>Baja</v>
      </c>
      <c r="AI28" s="108">
        <f>IF(AD28="","",IF(T28=1,IF(AD28="Probabilidad",P28-(P28*AG28),P28),IF(AD28="Probabilidad",#REF!-(#REF!*AG28),#REF!)))</f>
        <v>0.36</v>
      </c>
      <c r="AJ28" s="109" t="str">
        <f>+IF(AK28&lt;=datos!$AD$11,datos!$AC$11,IF(AK28&lt;=datos!$AD$12,datos!$AC$12,IF(AK28&lt;=datos!$AD$13,datos!$AC$13,IF(AK28&lt;=datos!$AD$14,datos!$AC$14,IF(AK28&lt;=datos!$AD$15,datos!$AC$15,"")))))</f>
        <v>Mayor</v>
      </c>
      <c r="AK28" s="108">
        <f>IF(AD28="","",IF(T28=1,IF(AD28="Impacto",R28-(R28*AG28),R28),IF(AD28="Impacto",#REF!-(#REF!*AG28),#REF!)))</f>
        <v>0.8</v>
      </c>
      <c r="AL28" s="109" t="str">
        <f ca="1" t="shared" si="1"/>
        <v>Alto</v>
      </c>
      <c r="AM28" s="254"/>
      <c r="AN28" s="197"/>
      <c r="AO28" s="199"/>
      <c r="AP28" s="186"/>
    </row>
    <row r="29" spans="1:42" ht="48">
      <c r="A29" s="222"/>
      <c r="B29" s="224"/>
      <c r="C29" s="224"/>
      <c r="D29" s="228"/>
      <c r="E29" s="224"/>
      <c r="F29" s="224"/>
      <c r="G29" s="224"/>
      <c r="H29" s="224"/>
      <c r="I29" s="224"/>
      <c r="J29" s="224"/>
      <c r="K29" s="230"/>
      <c r="L29" s="232"/>
      <c r="M29" s="236"/>
      <c r="N29" s="234"/>
      <c r="O29" s="226"/>
      <c r="P29" s="210"/>
      <c r="Q29" s="212"/>
      <c r="R29" s="210" t="e">
        <f>IF(OR(#REF!=datos!$AB$10,#REF!=datos!$AB$16),"",VLOOKUP(#REF!,datos!$AA$10:$AC$21,3,0))</f>
        <v>#REF!</v>
      </c>
      <c r="S29" s="208"/>
      <c r="T29" s="96">
        <v>2</v>
      </c>
      <c r="U29" s="79" t="s">
        <v>473</v>
      </c>
      <c r="V29" s="78" t="s">
        <v>474</v>
      </c>
      <c r="W29" s="78" t="s">
        <v>475</v>
      </c>
      <c r="X29" s="78" t="s">
        <v>476</v>
      </c>
      <c r="Y29" s="78" t="s">
        <v>477</v>
      </c>
      <c r="Z29" s="78" t="s">
        <v>478</v>
      </c>
      <c r="AA29" s="78" t="s">
        <v>479</v>
      </c>
      <c r="AB29" s="78" t="s">
        <v>480</v>
      </c>
      <c r="AC29" s="78" t="s">
        <v>472</v>
      </c>
      <c r="AD29" s="91" t="str">
        <f>IF(AE29="","",VLOOKUP(AE29,datos!$AT$6:$AU$9,2,0))</f>
        <v>Probabilidad</v>
      </c>
      <c r="AE29" s="79" t="s">
        <v>80</v>
      </c>
      <c r="AF29" s="79" t="s">
        <v>84</v>
      </c>
      <c r="AG29" s="87">
        <f>IF(AND(AE29="",AF29=""),"",IF(AE29="",0,VLOOKUP(AE29,datos!$AP$3:$AR$7,3,0))+IF(AF29="",0,VLOOKUP(AF29,datos!$AP$3:$AR$7,3,0)))</f>
        <v>0.4</v>
      </c>
      <c r="AH29" s="110" t="str">
        <f>IF(OR(AI29="",AI29=0),"",IF(AI29&lt;=datos!$AC$3,datos!$AE$3,IF(AI29&lt;=datos!$AC$4,datos!$AE$4,IF(AI29&lt;=datos!$AC$5,datos!$AE$5,IF(AI29&lt;=datos!$AC$6,datos!$AE$6,IF(AI29&lt;=datos!$AC$7,datos!$AE$7,""))))))</f>
        <v>Baja</v>
      </c>
      <c r="AI29" s="111">
        <f t="shared" si="2"/>
        <v>0.216</v>
      </c>
      <c r="AJ29" s="112" t="str">
        <f>+IF(AK29&lt;=datos!$AD$11,datos!$AC$11,IF(AK29&lt;=datos!$AD$12,datos!$AC$12,IF(AK29&lt;=datos!$AD$13,datos!$AC$13,IF(AK29&lt;=datos!$AD$14,datos!$AC$14,IF(AK29&lt;=datos!$AD$15,datos!$AC$15,"")))))</f>
        <v>Mayor</v>
      </c>
      <c r="AK29" s="111">
        <f t="shared" si="3"/>
        <v>0.8</v>
      </c>
      <c r="AL29" s="112" t="str">
        <f ca="1" t="shared" si="1"/>
        <v>Alto</v>
      </c>
      <c r="AM29" s="255"/>
      <c r="AN29" s="198"/>
      <c r="AO29" s="200"/>
      <c r="AP29" s="187"/>
    </row>
    <row r="30" spans="1:42" ht="84.75" thickBot="1">
      <c r="A30" s="222"/>
      <c r="B30" s="224"/>
      <c r="C30" s="224"/>
      <c r="D30" s="228"/>
      <c r="E30" s="224"/>
      <c r="F30" s="224"/>
      <c r="G30" s="224"/>
      <c r="H30" s="224"/>
      <c r="I30" s="224"/>
      <c r="J30" s="224"/>
      <c r="K30" s="230"/>
      <c r="L30" s="232"/>
      <c r="M30" s="236"/>
      <c r="N30" s="234"/>
      <c r="O30" s="226"/>
      <c r="P30" s="210"/>
      <c r="Q30" s="212"/>
      <c r="R30" s="210" t="e">
        <f>IF(OR(#REF!=datos!$AB$10,#REF!=datos!$AB$16),"",VLOOKUP(#REF!,datos!$AA$10:$AC$21,3,0))</f>
        <v>#REF!</v>
      </c>
      <c r="S30" s="208"/>
      <c r="T30" s="96">
        <v>3</v>
      </c>
      <c r="U30" s="79" t="s">
        <v>481</v>
      </c>
      <c r="V30" s="78" t="s">
        <v>482</v>
      </c>
      <c r="W30" s="78" t="s">
        <v>483</v>
      </c>
      <c r="X30" s="78" t="s">
        <v>484</v>
      </c>
      <c r="Y30" s="78" t="s">
        <v>485</v>
      </c>
      <c r="Z30" s="78" t="s">
        <v>486</v>
      </c>
      <c r="AA30" s="78" t="s">
        <v>487</v>
      </c>
      <c r="AB30" s="78" t="s">
        <v>488</v>
      </c>
      <c r="AC30" s="78" t="s">
        <v>472</v>
      </c>
      <c r="AD30" s="91" t="str">
        <f>IF(AE30="","",VLOOKUP(AE30,datos!$AT$6:$AU$9,2,0))</f>
        <v>Probabilidad</v>
      </c>
      <c r="AE30" s="79" t="s">
        <v>80</v>
      </c>
      <c r="AF30" s="79" t="s">
        <v>84</v>
      </c>
      <c r="AG30" s="87">
        <f>IF(AND(AE30="",AF30=""),"",IF(AE30="",0,VLOOKUP(AE30,datos!$AP$3:$AR$7,3,0))+IF(AF30="",0,VLOOKUP(AF30,datos!$AP$3:$AR$7,3,0)))</f>
        <v>0.4</v>
      </c>
      <c r="AH30" s="110" t="str">
        <f>IF(OR(AI30="",AI30=0),"",IF(AI30&lt;=datos!$AC$3,datos!$AE$3,IF(AI30&lt;=datos!$AC$4,datos!$AE$4,IF(AI30&lt;=datos!$AC$5,datos!$AE$5,IF(AI30&lt;=datos!$AC$6,datos!$AE$6,IF(AI30&lt;=datos!$AC$7,datos!$AE$7,""))))))</f>
        <v>Muy Baja</v>
      </c>
      <c r="AI30" s="111">
        <f t="shared" si="2"/>
        <v>0.1296</v>
      </c>
      <c r="AJ30" s="112" t="str">
        <f>+IF(AK30&lt;=datos!$AD$11,datos!$AC$11,IF(AK30&lt;=datos!$AD$12,datos!$AC$12,IF(AK30&lt;=datos!$AD$13,datos!$AC$13,IF(AK30&lt;=datos!$AD$14,datos!$AC$14,IF(AK30&lt;=datos!$AD$15,datos!$AC$15,"")))))</f>
        <v>Mayor</v>
      </c>
      <c r="AK30" s="111">
        <f t="shared" si="3"/>
        <v>0.8</v>
      </c>
      <c r="AL30" s="112" t="str">
        <f ca="1" t="shared" si="1"/>
        <v>Alto</v>
      </c>
      <c r="AM30" s="255"/>
      <c r="AN30" s="198"/>
      <c r="AO30" s="200"/>
      <c r="AP30" s="187"/>
    </row>
    <row r="31" spans="1:42" ht="204">
      <c r="A31" s="221">
        <v>12</v>
      </c>
      <c r="B31" s="223" t="s">
        <v>38</v>
      </c>
      <c r="C31" s="223" t="s">
        <v>247</v>
      </c>
      <c r="D31" s="227" t="str">
        <f>_xlfn.IFERROR(VLOOKUP(B31,datos!$B$1:$C$21,2,0),"")</f>
        <v>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v>
      </c>
      <c r="E31" s="223" t="s">
        <v>55</v>
      </c>
      <c r="F31" s="223" t="s">
        <v>489</v>
      </c>
      <c r="G31" s="223" t="s">
        <v>490</v>
      </c>
      <c r="H31" s="223" t="s">
        <v>233</v>
      </c>
      <c r="I31" s="223"/>
      <c r="J31" s="223" t="s">
        <v>491</v>
      </c>
      <c r="K31" s="229" t="s">
        <v>184</v>
      </c>
      <c r="L31" s="231" t="s">
        <v>57</v>
      </c>
      <c r="M31" s="235" t="s">
        <v>274</v>
      </c>
      <c r="N31" s="233">
        <v>365</v>
      </c>
      <c r="O31" s="225" t="str">
        <f>_xlfn.IFERROR(VLOOKUP(P31,datos!$AC$2:$AE$7,3,0),"")</f>
        <v>Media</v>
      </c>
      <c r="P31" s="209">
        <f>+IF(OR(N31="",N31=0),"",IF(N31&lt;=datos!$AD$3,datos!$AC$3,IF(AND(N31&gt;datos!$AD$3,N31&lt;=datos!$AD$4),datos!$AC$4,IF(AND(N31&gt;datos!$AD$4,N31&lt;=datos!$AD$5),datos!$AC$5,IF(AND(N31&gt;datos!$AD$5,N31&lt;=datos!$AD$6),datos!$AC$6,IF(N31&gt;datos!$AD$7,datos!$AC$7,0))))))</f>
        <v>0.6</v>
      </c>
      <c r="Q31" s="211" t="str">
        <f>+HLOOKUP(A31,'Impacto Riesgo de Corrupción'!$D$8:$AQ$29,22,0)</f>
        <v>Catastrófico</v>
      </c>
      <c r="R31" s="209">
        <f>+IF(Q31="","",VLOOKUP(Q31,datos!$AC$12:$AD$15,2,0))</f>
        <v>1</v>
      </c>
      <c r="S31" s="207" t="str">
        <f ca="1">_xlfn.IFERROR(INDIRECT("datos!"&amp;HLOOKUP(Q31,calculo_imp,2,FALSE)&amp;VLOOKUP(O31,calculo_prob,2,FALSE)),"")</f>
        <v>Extremo</v>
      </c>
      <c r="T31" s="95">
        <v>1</v>
      </c>
      <c r="U31" s="83" t="s">
        <v>495</v>
      </c>
      <c r="V31" s="82" t="s">
        <v>496</v>
      </c>
      <c r="W31" s="82" t="s">
        <v>497</v>
      </c>
      <c r="X31" s="82" t="s">
        <v>498</v>
      </c>
      <c r="Y31" s="82" t="s">
        <v>499</v>
      </c>
      <c r="Z31" s="82" t="s">
        <v>500</v>
      </c>
      <c r="AA31" s="82" t="s">
        <v>501</v>
      </c>
      <c r="AB31" s="82" t="s">
        <v>502</v>
      </c>
      <c r="AC31" s="82" t="s">
        <v>503</v>
      </c>
      <c r="AD31" s="92" t="str">
        <f>IF(AE31="","",VLOOKUP(AE31,datos!$AT$6:$AU$9,2,0))</f>
        <v>Probabilidad</v>
      </c>
      <c r="AE31" s="83" t="s">
        <v>80</v>
      </c>
      <c r="AF31" s="83" t="s">
        <v>84</v>
      </c>
      <c r="AG31" s="86">
        <f>IF(AND(AE31="",AF31=""),"",IF(AE31="",0,VLOOKUP(AE31,datos!$AP$3:$AR$7,3,0))+IF(AF31="",0,VLOOKUP(AF31,datos!$AP$3:$AR$7,3,0)))</f>
        <v>0.4</v>
      </c>
      <c r="AH31" s="107" t="str">
        <f>IF(OR(AI31="",AI31=0),"",IF(AI31&lt;=datos!$AC$3,datos!$AE$3,IF(AI31&lt;=datos!$AC$4,datos!$AE$4,IF(AI31&lt;=datos!$AC$5,datos!$AE$5,IF(AI31&lt;=datos!$AC$6,datos!$AE$6,IF(AI31&lt;=datos!$AC$7,datos!$AE$7,""))))))</f>
        <v>Baja</v>
      </c>
      <c r="AI31" s="108">
        <f>IF(AD31="","",IF(T31=1,IF(AD31="Probabilidad",P31-(P31*AG31),P31),IF(AD31="Probabilidad",#REF!-(#REF!*AG31),#REF!)))</f>
        <v>0.36</v>
      </c>
      <c r="AJ31" s="109" t="str">
        <f>+IF(AK31&lt;=datos!$AD$11,datos!$AC$11,IF(AK31&lt;=datos!$AD$12,datos!$AC$12,IF(AK31&lt;=datos!$AD$13,datos!$AC$13,IF(AK31&lt;=datos!$AD$14,datos!$AC$14,IF(AK31&lt;=datos!$AD$15,datos!$AC$15,"")))))</f>
        <v>Catastrófico</v>
      </c>
      <c r="AK31" s="108">
        <f>IF(AD31="","",IF(T31=1,IF(AD31="Impacto",R31-(R31*AG31),R31),IF(AD31="Impacto",#REF!-(#REF!*AG31),#REF!)))</f>
        <v>1</v>
      </c>
      <c r="AL31" s="109" t="str">
        <f aca="true" ca="1" t="shared" si="4" ref="AL31:AL62">_xlfn.IFERROR(INDIRECT("datos!"&amp;HLOOKUP(AJ31,calculo_imp,2,FALSE)&amp;VLOOKUP(AH31,calculo_prob,2,FALSE)),"")</f>
        <v>Extremo</v>
      </c>
      <c r="AM31" s="254" t="s">
        <v>92</v>
      </c>
      <c r="AN31" s="197" t="s">
        <v>521</v>
      </c>
      <c r="AO31" s="199" t="s">
        <v>522</v>
      </c>
      <c r="AP31" s="186" t="s">
        <v>523</v>
      </c>
    </row>
    <row r="32" spans="1:42" ht="252.75" thickBot="1">
      <c r="A32" s="222"/>
      <c r="B32" s="224"/>
      <c r="C32" s="224"/>
      <c r="D32" s="228"/>
      <c r="E32" s="224"/>
      <c r="F32" s="224"/>
      <c r="G32" s="224"/>
      <c r="H32" s="224"/>
      <c r="I32" s="224"/>
      <c r="J32" s="224"/>
      <c r="K32" s="230"/>
      <c r="L32" s="232"/>
      <c r="M32" s="236"/>
      <c r="N32" s="234"/>
      <c r="O32" s="226"/>
      <c r="P32" s="210"/>
      <c r="Q32" s="212"/>
      <c r="R32" s="210" t="e">
        <f>IF(OR(#REF!=datos!$AB$10,#REF!=datos!$AB$16),"",VLOOKUP(#REF!,datos!$AA$10:$AC$21,3,0))</f>
        <v>#REF!</v>
      </c>
      <c r="S32" s="208"/>
      <c r="T32" s="96">
        <v>2</v>
      </c>
      <c r="U32" s="79" t="s">
        <v>504</v>
      </c>
      <c r="V32" s="78" t="s">
        <v>496</v>
      </c>
      <c r="W32" s="78" t="s">
        <v>505</v>
      </c>
      <c r="X32" s="78" t="s">
        <v>506</v>
      </c>
      <c r="Y32" s="78" t="s">
        <v>507</v>
      </c>
      <c r="Z32" s="78" t="s">
        <v>508</v>
      </c>
      <c r="AA32" s="78" t="s">
        <v>509</v>
      </c>
      <c r="AB32" s="180" t="s">
        <v>520</v>
      </c>
      <c r="AC32" s="78" t="s">
        <v>510</v>
      </c>
      <c r="AD32" s="91" t="str">
        <f>IF(AE32="","",VLOOKUP(AE32,datos!$AT$6:$AU$9,2,0))</f>
        <v>Probabilidad</v>
      </c>
      <c r="AE32" s="79" t="s">
        <v>80</v>
      </c>
      <c r="AF32" s="79" t="s">
        <v>84</v>
      </c>
      <c r="AG32" s="87">
        <f>IF(AND(AE32="",AF32=""),"",IF(AE32="",0,VLOOKUP(AE32,datos!$AP$3:$AR$7,3,0))+IF(AF32="",0,VLOOKUP(AF32,datos!$AP$3:$AR$7,3,0)))</f>
        <v>0.4</v>
      </c>
      <c r="AH32" s="110" t="str">
        <f>IF(OR(AI32="",AI32=0),"",IF(AI32&lt;=datos!$AC$3,datos!$AE$3,IF(AI32&lt;=datos!$AC$4,datos!$AE$4,IF(AI32&lt;=datos!$AC$5,datos!$AE$5,IF(AI32&lt;=datos!$AC$6,datos!$AE$6,IF(AI32&lt;=datos!$AC$7,datos!$AE$7,""))))))</f>
        <v>Baja</v>
      </c>
      <c r="AI32" s="111">
        <f aca="true" t="shared" si="5" ref="AI32:AI62">IF(AD32="","",IF(T32=1,IF(AD32="Probabilidad",P32-(P32*AG32),P32),IF(AD32="Probabilidad",AI31-(AI31*AG32),AI31)))</f>
        <v>0.216</v>
      </c>
      <c r="AJ32" s="112" t="str">
        <f>+IF(AK32&lt;=datos!$AD$11,datos!$AC$11,IF(AK32&lt;=datos!$AD$12,datos!$AC$12,IF(AK32&lt;=datos!$AD$13,datos!$AC$13,IF(AK32&lt;=datos!$AD$14,datos!$AC$14,IF(AK32&lt;=datos!$AD$15,datos!$AC$15,"")))))</f>
        <v>Catastrófico</v>
      </c>
      <c r="AK32" s="111">
        <f aca="true" t="shared" si="6" ref="AK32:AK62">IF(AD32="","",IF(T32=1,IF(AD32="Impacto",R32-(R32*AG32),R32),IF(AD32="Impacto",AK31-(AK31*AG32),AK31)))</f>
        <v>1</v>
      </c>
      <c r="AL32" s="112" t="str">
        <f ca="1" t="shared" si="4"/>
        <v>Extremo</v>
      </c>
      <c r="AM32" s="255"/>
      <c r="AN32" s="198"/>
      <c r="AO32" s="200"/>
      <c r="AP32" s="187"/>
    </row>
    <row r="33" spans="1:42" ht="312.75" thickBot="1">
      <c r="A33" s="145">
        <v>13</v>
      </c>
      <c r="B33" s="83" t="s">
        <v>38</v>
      </c>
      <c r="C33" s="83" t="s">
        <v>247</v>
      </c>
      <c r="D33" s="92" t="str">
        <f>_xlfn.IFERROR(VLOOKUP(B33,datos!$B$1:$C$21,2,0),"")</f>
        <v>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v>
      </c>
      <c r="E33" s="83" t="s">
        <v>55</v>
      </c>
      <c r="F33" s="83" t="s">
        <v>492</v>
      </c>
      <c r="G33" s="83" t="s">
        <v>493</v>
      </c>
      <c r="H33" s="83" t="s">
        <v>233</v>
      </c>
      <c r="I33" s="83"/>
      <c r="J33" s="83" t="s">
        <v>494</v>
      </c>
      <c r="K33" s="160" t="s">
        <v>184</v>
      </c>
      <c r="L33" s="148" t="s">
        <v>197</v>
      </c>
      <c r="M33" s="147" t="s">
        <v>274</v>
      </c>
      <c r="N33" s="149">
        <v>200</v>
      </c>
      <c r="O33" s="109" t="str">
        <f>_xlfn.IFERROR(VLOOKUP(P33,datos!$AC$2:$AE$7,3,0),"")</f>
        <v>Media</v>
      </c>
      <c r="P33" s="150">
        <f>+IF(OR(N33="",N33=0),"",IF(N33&lt;=datos!$AD$3,datos!$AC$3,IF(AND(N33&gt;datos!$AD$3,N33&lt;=datos!$AD$4),datos!$AC$4,IF(AND(N33&gt;datos!$AD$4,N33&lt;=datos!$AD$5),datos!$AC$5,IF(AND(N33&gt;datos!$AD$5,N33&lt;=datos!$AD$6),datos!$AC$6,IF(N33&gt;datos!$AD$7,datos!$AC$7,0))))))</f>
        <v>0.6</v>
      </c>
      <c r="Q33" s="159" t="str">
        <f>+HLOOKUP(A33,'Impacto Riesgo de Corrupción'!$D$8:$AQ$29,22,0)</f>
        <v>Catastrófico</v>
      </c>
      <c r="R33" s="150">
        <f>+IF(Q33="","",VLOOKUP(Q33,datos!$AC$12:$AD$15,2,0))</f>
        <v>1</v>
      </c>
      <c r="S33" s="158" t="str">
        <f ca="1">_xlfn.IFERROR(INDIRECT("datos!"&amp;HLOOKUP(Q33,calculo_imp,2,FALSE)&amp;VLOOKUP(O33,calculo_prob,2,FALSE)),"")</f>
        <v>Extremo</v>
      </c>
      <c r="T33" s="95">
        <v>1</v>
      </c>
      <c r="U33" s="83" t="s">
        <v>511</v>
      </c>
      <c r="V33" s="82" t="s">
        <v>512</v>
      </c>
      <c r="W33" s="82" t="s">
        <v>513</v>
      </c>
      <c r="X33" s="82" t="s">
        <v>514</v>
      </c>
      <c r="Y33" s="82" t="s">
        <v>515</v>
      </c>
      <c r="Z33" s="82" t="s">
        <v>516</v>
      </c>
      <c r="AA33" s="82" t="s">
        <v>517</v>
      </c>
      <c r="AB33" s="82" t="s">
        <v>518</v>
      </c>
      <c r="AC33" s="82" t="s">
        <v>519</v>
      </c>
      <c r="AD33" s="92" t="str">
        <f>IF(AE33="","",VLOOKUP(AE33,datos!$AT$6:$AU$9,2,0))</f>
        <v>Probabilidad</v>
      </c>
      <c r="AE33" s="83" t="s">
        <v>80</v>
      </c>
      <c r="AF33" s="83" t="s">
        <v>84</v>
      </c>
      <c r="AG33" s="86">
        <f>IF(AND(AE33="",AF33=""),"",IF(AE33="",0,VLOOKUP(AE33,datos!$AP$3:$AR$7,3,0))+IF(AF33="",0,VLOOKUP(AF33,datos!$AP$3:$AR$7,3,0)))</f>
        <v>0.4</v>
      </c>
      <c r="AH33" s="107" t="str">
        <f>IF(OR(AI33="",AI33=0),"",IF(AI33&lt;=datos!$AC$3,datos!$AE$3,IF(AI33&lt;=datos!$AC$4,datos!$AE$4,IF(AI33&lt;=datos!$AC$5,datos!$AE$5,IF(AI33&lt;=datos!$AC$6,datos!$AE$6,IF(AI33&lt;=datos!$AC$7,datos!$AE$7,""))))))</f>
        <v>Baja</v>
      </c>
      <c r="AI33" s="108">
        <f>IF(AD33="","",IF(T33=1,IF(AD33="Probabilidad",P33-(P33*AG33),P33),IF(AD33="Probabilidad",#REF!-(#REF!*AG33),#REF!)))</f>
        <v>0.36</v>
      </c>
      <c r="AJ33" s="109" t="str">
        <f>+IF(AK33&lt;=datos!$AD$11,datos!$AC$11,IF(AK33&lt;=datos!$AD$12,datos!$AC$12,IF(AK33&lt;=datos!$AD$13,datos!$AC$13,IF(AK33&lt;=datos!$AD$14,datos!$AC$14,IF(AK33&lt;=datos!$AD$15,datos!$AC$15,"")))))</f>
        <v>Catastrófico</v>
      </c>
      <c r="AK33" s="108">
        <f>IF(AD33="","",IF(T33=1,IF(AD33="Impacto",R33-(R33*AG33),R33),IF(AD33="Impacto",#REF!-(#REF!*AG33),#REF!)))</f>
        <v>1</v>
      </c>
      <c r="AL33" s="109" t="str">
        <f ca="1" t="shared" si="4"/>
        <v>Extremo</v>
      </c>
      <c r="AM33" s="152" t="s">
        <v>92</v>
      </c>
      <c r="AN33" s="140" t="s">
        <v>524</v>
      </c>
      <c r="AO33" s="142" t="s">
        <v>525</v>
      </c>
      <c r="AP33" s="156" t="s">
        <v>526</v>
      </c>
    </row>
    <row r="34" spans="1:42" ht="48">
      <c r="A34" s="221">
        <v>14</v>
      </c>
      <c r="B34" s="223" t="s">
        <v>41</v>
      </c>
      <c r="C34" s="223" t="s">
        <v>250</v>
      </c>
      <c r="D34" s="227" t="str">
        <f>_xlfn.IFERROR(VLOOKUP(B34,datos!$B$1:$C$21,2,0),"")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34" s="223" t="s">
        <v>54</v>
      </c>
      <c r="F34" s="223" t="s">
        <v>527</v>
      </c>
      <c r="G34" s="223" t="s">
        <v>528</v>
      </c>
      <c r="H34" s="223" t="s">
        <v>233</v>
      </c>
      <c r="I34" s="223"/>
      <c r="J34" s="223" t="s">
        <v>529</v>
      </c>
      <c r="K34" s="229" t="s">
        <v>184</v>
      </c>
      <c r="L34" s="231" t="s">
        <v>59</v>
      </c>
      <c r="M34" s="235" t="s">
        <v>274</v>
      </c>
      <c r="N34" s="233">
        <v>365</v>
      </c>
      <c r="O34" s="225" t="str">
        <f>_xlfn.IFERROR(VLOOKUP(P34,datos!$AC$2:$AE$7,3,0),"")</f>
        <v>Media</v>
      </c>
      <c r="P34" s="209">
        <f>+IF(OR(N34="",N34=0),"",IF(N34&lt;=datos!$AD$3,datos!$AC$3,IF(AND(N34&gt;datos!$AD$3,N34&lt;=datos!$AD$4),datos!$AC$4,IF(AND(N34&gt;datos!$AD$4,N34&lt;=datos!$AD$5),datos!$AC$5,IF(AND(N34&gt;datos!$AD$5,N34&lt;=datos!$AD$6),datos!$AC$6,IF(N34&gt;datos!$AD$7,datos!$AC$7,0))))))</f>
        <v>0.6</v>
      </c>
      <c r="Q34" s="211" t="str">
        <f>+HLOOKUP(A34,'Impacto Riesgo de Corrupción'!$D$8:$AQ$29,22,0)</f>
        <v>Mayor</v>
      </c>
      <c r="R34" s="209">
        <f>+IF(Q34="","",VLOOKUP(Q34,datos!$AC$12:$AD$15,2,0))</f>
        <v>0.8</v>
      </c>
      <c r="S34" s="207" t="str">
        <f ca="1">_xlfn.IFERROR(INDIRECT("datos!"&amp;HLOOKUP(Q34,calculo_imp,2,FALSE)&amp;VLOOKUP(O34,calculo_prob,2,FALSE)),"")</f>
        <v>Alto</v>
      </c>
      <c r="T34" s="95">
        <v>1</v>
      </c>
      <c r="U34" s="83" t="s">
        <v>531</v>
      </c>
      <c r="V34" s="82" t="s">
        <v>532</v>
      </c>
      <c r="W34" s="82" t="s">
        <v>533</v>
      </c>
      <c r="X34" s="82" t="s">
        <v>534</v>
      </c>
      <c r="Y34" s="82" t="s">
        <v>535</v>
      </c>
      <c r="Z34" s="82" t="s">
        <v>536</v>
      </c>
      <c r="AA34" s="82" t="s">
        <v>537</v>
      </c>
      <c r="AB34" s="82" t="s">
        <v>537</v>
      </c>
      <c r="AC34" s="82" t="s">
        <v>538</v>
      </c>
      <c r="AD34" s="92" t="str">
        <f>IF(AE34="","",VLOOKUP(AE34,datos!$AT$6:$AU$9,2,0))</f>
        <v>Probabilidad</v>
      </c>
      <c r="AE34" s="83" t="s">
        <v>81</v>
      </c>
      <c r="AF34" s="83" t="s">
        <v>84</v>
      </c>
      <c r="AG34" s="86">
        <f>IF(AND(AE34="",AF34=""),"",IF(AE34="",0,VLOOKUP(AE34,datos!$AP$3:$AR$7,3,0))+IF(AF34="",0,VLOOKUP(AF34,datos!$AP$3:$AR$7,3,0)))</f>
        <v>0.3</v>
      </c>
      <c r="AH34" s="107" t="str">
        <f>IF(OR(AI34="",AI34=0),"",IF(AI34&lt;=datos!$AC$3,datos!$AE$3,IF(AI34&lt;=datos!$AC$4,datos!$AE$4,IF(AI34&lt;=datos!$AC$5,datos!$AE$5,IF(AI34&lt;=datos!$AC$6,datos!$AE$6,IF(AI34&lt;=datos!$AC$7,datos!$AE$7,""))))))</f>
        <v>Media</v>
      </c>
      <c r="AI34" s="108">
        <f>IF(AD34="","",IF(T34=1,IF(AD34="Probabilidad",P34-(P34*AG34),P34),IF(AD34="Probabilidad",#REF!-(#REF!*AG34),#REF!)))</f>
        <v>0.42</v>
      </c>
      <c r="AJ34" s="109" t="str">
        <f>+IF(AK34&lt;=datos!$AD$11,datos!$AC$11,IF(AK34&lt;=datos!$AD$12,datos!$AC$12,IF(AK34&lt;=datos!$AD$13,datos!$AC$13,IF(AK34&lt;=datos!$AD$14,datos!$AC$14,IF(AK34&lt;=datos!$AD$15,datos!$AC$15,"")))))</f>
        <v>Mayor</v>
      </c>
      <c r="AK34" s="108">
        <f>IF(AD34="","",IF(T34=1,IF(AD34="Impacto",R34-(R34*AG34),R34),IF(AD34="Impacto",#REF!-(#REF!*AG34),#REF!)))</f>
        <v>0.8</v>
      </c>
      <c r="AL34" s="109" t="str">
        <f ca="1" t="shared" si="4"/>
        <v>Alto</v>
      </c>
      <c r="AM34" s="254" t="s">
        <v>92</v>
      </c>
      <c r="AN34" s="197" t="s">
        <v>567</v>
      </c>
      <c r="AO34" s="199" t="s">
        <v>568</v>
      </c>
      <c r="AP34" s="186" t="s">
        <v>569</v>
      </c>
    </row>
    <row r="35" spans="1:42" ht="72.75" thickBot="1">
      <c r="A35" s="222"/>
      <c r="B35" s="224"/>
      <c r="C35" s="224"/>
      <c r="D35" s="228"/>
      <c r="E35" s="224"/>
      <c r="F35" s="224"/>
      <c r="G35" s="224"/>
      <c r="H35" s="224"/>
      <c r="I35" s="224"/>
      <c r="J35" s="224"/>
      <c r="K35" s="230"/>
      <c r="L35" s="232"/>
      <c r="M35" s="236"/>
      <c r="N35" s="234"/>
      <c r="O35" s="226"/>
      <c r="P35" s="210"/>
      <c r="Q35" s="212"/>
      <c r="R35" s="210" t="e">
        <f>IF(OR(#REF!=datos!$AB$10,#REF!=datos!$AB$16),"",VLOOKUP(#REF!,datos!$AA$10:$AC$21,3,0))</f>
        <v>#REF!</v>
      </c>
      <c r="S35" s="208"/>
      <c r="T35" s="96">
        <v>2</v>
      </c>
      <c r="U35" s="79" t="s">
        <v>539</v>
      </c>
      <c r="V35" s="78" t="s">
        <v>532</v>
      </c>
      <c r="W35" s="78" t="s">
        <v>533</v>
      </c>
      <c r="X35" s="78" t="s">
        <v>540</v>
      </c>
      <c r="Y35" s="78" t="s">
        <v>541</v>
      </c>
      <c r="Z35" s="78" t="s">
        <v>542</v>
      </c>
      <c r="AA35" s="78" t="s">
        <v>543</v>
      </c>
      <c r="AB35" s="78" t="s">
        <v>543</v>
      </c>
      <c r="AC35" s="78" t="s">
        <v>538</v>
      </c>
      <c r="AD35" s="91" t="str">
        <f>IF(AE35="","",VLOOKUP(AE35,datos!$AT$6:$AU$9,2,0))</f>
        <v>Probabilidad</v>
      </c>
      <c r="AE35" s="79" t="s">
        <v>80</v>
      </c>
      <c r="AF35" s="79" t="s">
        <v>84</v>
      </c>
      <c r="AG35" s="87">
        <f>IF(AND(AE35="",AF35=""),"",IF(AE35="",0,VLOOKUP(AE35,datos!$AP$3:$AR$7,3,0))+IF(AF35="",0,VLOOKUP(AF35,datos!$AP$3:$AR$7,3,0)))</f>
        <v>0.4</v>
      </c>
      <c r="AH35" s="110" t="str">
        <f>IF(OR(AI35="",AI35=0),"",IF(AI35&lt;=datos!$AC$3,datos!$AE$3,IF(AI35&lt;=datos!$AC$4,datos!$AE$4,IF(AI35&lt;=datos!$AC$5,datos!$AE$5,IF(AI35&lt;=datos!$AC$6,datos!$AE$6,IF(AI35&lt;=datos!$AC$7,datos!$AE$7,""))))))</f>
        <v>Baja</v>
      </c>
      <c r="AI35" s="111">
        <f t="shared" si="5"/>
        <v>0.252</v>
      </c>
      <c r="AJ35" s="112" t="str">
        <f>+IF(AK35&lt;=datos!$AD$11,datos!$AC$11,IF(AK35&lt;=datos!$AD$12,datos!$AC$12,IF(AK35&lt;=datos!$AD$13,datos!$AC$13,IF(AK35&lt;=datos!$AD$14,datos!$AC$14,IF(AK35&lt;=datos!$AD$15,datos!$AC$15,"")))))</f>
        <v>Mayor</v>
      </c>
      <c r="AK35" s="111">
        <f t="shared" si="6"/>
        <v>0.8</v>
      </c>
      <c r="AL35" s="112" t="str">
        <f ca="1" t="shared" si="4"/>
        <v>Alto</v>
      </c>
      <c r="AM35" s="255"/>
      <c r="AN35" s="198"/>
      <c r="AO35" s="200"/>
      <c r="AP35" s="187"/>
    </row>
    <row r="36" spans="1:42" ht="168">
      <c r="A36" s="221">
        <v>15</v>
      </c>
      <c r="B36" s="223" t="s">
        <v>41</v>
      </c>
      <c r="C36" s="223" t="s">
        <v>250</v>
      </c>
      <c r="D36" s="227" t="str">
        <f>_xlfn.IFERROR(VLOOKUP(B36,datos!$B$1:$C$21,2,0),"")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36" s="223" t="s">
        <v>54</v>
      </c>
      <c r="F36" s="223" t="s">
        <v>527</v>
      </c>
      <c r="G36" s="223" t="s">
        <v>528</v>
      </c>
      <c r="H36" s="223" t="s">
        <v>233</v>
      </c>
      <c r="I36" s="223"/>
      <c r="J36" s="223" t="s">
        <v>530</v>
      </c>
      <c r="K36" s="229" t="s">
        <v>184</v>
      </c>
      <c r="L36" s="231" t="s">
        <v>59</v>
      </c>
      <c r="M36" s="235" t="s">
        <v>274</v>
      </c>
      <c r="N36" s="233">
        <v>365</v>
      </c>
      <c r="O36" s="225" t="str">
        <f>_xlfn.IFERROR(VLOOKUP(P36,datos!$AC$2:$AE$7,3,0),"")</f>
        <v>Media</v>
      </c>
      <c r="P36" s="209">
        <f>+IF(OR(N36="",N36=0),"",IF(N36&lt;=datos!$AD$3,datos!$AC$3,IF(AND(N36&gt;datos!$AD$3,N36&lt;=datos!$AD$4),datos!$AC$4,IF(AND(N36&gt;datos!$AD$4,N36&lt;=datos!$AD$5),datos!$AC$5,IF(AND(N36&gt;datos!$AD$5,N36&lt;=datos!$AD$6),datos!$AC$6,IF(N36&gt;datos!$AD$7,datos!$AC$7,0))))))</f>
        <v>0.6</v>
      </c>
      <c r="Q36" s="211" t="str">
        <f>+HLOOKUP(A36,'Impacto Riesgo de Corrupción'!$D$8:$AQ$29,22,0)</f>
        <v>Mayor</v>
      </c>
      <c r="R36" s="209">
        <f>+IF(Q36="","",VLOOKUP(Q36,datos!$AC$12:$AD$15,2,0))</f>
        <v>0.8</v>
      </c>
      <c r="S36" s="207" t="str">
        <f ca="1">_xlfn.IFERROR(INDIRECT("datos!"&amp;HLOOKUP(Q36,calculo_imp,2,FALSE)&amp;VLOOKUP(O36,calculo_prob,2,FALSE)),"")</f>
        <v>Alto</v>
      </c>
      <c r="T36" s="95">
        <v>1</v>
      </c>
      <c r="U36" s="83" t="s">
        <v>544</v>
      </c>
      <c r="V36" s="82" t="s">
        <v>545</v>
      </c>
      <c r="W36" s="82" t="s">
        <v>546</v>
      </c>
      <c r="X36" s="82" t="s">
        <v>547</v>
      </c>
      <c r="Y36" s="82" t="s">
        <v>548</v>
      </c>
      <c r="Z36" s="82" t="s">
        <v>549</v>
      </c>
      <c r="AA36" s="82" t="s">
        <v>550</v>
      </c>
      <c r="AB36" s="82" t="s">
        <v>551</v>
      </c>
      <c r="AC36" s="82" t="s">
        <v>538</v>
      </c>
      <c r="AD36" s="92" t="str">
        <f>IF(AE36="","",VLOOKUP(AE36,datos!$AT$6:$AU$9,2,0))</f>
        <v>Probabilidad</v>
      </c>
      <c r="AE36" s="83" t="s">
        <v>80</v>
      </c>
      <c r="AF36" s="83" t="s">
        <v>84</v>
      </c>
      <c r="AG36" s="86">
        <f>IF(AND(AE36="",AF36=""),"",IF(AE36="",0,VLOOKUP(AE36,datos!$AP$3:$AR$7,3,0))+IF(AF36="",0,VLOOKUP(AF36,datos!$AP$3:$AR$7,3,0)))</f>
        <v>0.4</v>
      </c>
      <c r="AH36" s="107" t="str">
        <f>IF(OR(AI36="",AI36=0),"",IF(AI36&lt;=datos!$AC$3,datos!$AE$3,IF(AI36&lt;=datos!$AC$4,datos!$AE$4,IF(AI36&lt;=datos!$AC$5,datos!$AE$5,IF(AI36&lt;=datos!$AC$6,datos!$AE$6,IF(AI36&lt;=datos!$AC$7,datos!$AE$7,""))))))</f>
        <v>Baja</v>
      </c>
      <c r="AI36" s="108">
        <f>IF(AD36="","",IF(T36=1,IF(AD36="Probabilidad",P36-(P36*AG36),P36),IF(AD36="Probabilidad",#REF!-(#REF!*AG36),#REF!)))</f>
        <v>0.36</v>
      </c>
      <c r="AJ36" s="109" t="str">
        <f>+IF(AK36&lt;=datos!$AD$11,datos!$AC$11,IF(AK36&lt;=datos!$AD$12,datos!$AC$12,IF(AK36&lt;=datos!$AD$13,datos!$AC$13,IF(AK36&lt;=datos!$AD$14,datos!$AC$14,IF(AK36&lt;=datos!$AD$15,datos!$AC$15,"")))))</f>
        <v>Mayor</v>
      </c>
      <c r="AK36" s="108">
        <f>IF(AD36="","",IF(T36=1,IF(AD36="Impacto",R36-(R36*AG36),R36),IF(AD36="Impacto",#REF!-(#REF!*AG36),#REF!)))</f>
        <v>0.8</v>
      </c>
      <c r="AL36" s="109" t="str">
        <f ca="1" t="shared" si="4"/>
        <v>Alto</v>
      </c>
      <c r="AM36" s="254" t="s">
        <v>92</v>
      </c>
      <c r="AN36" s="197" t="s">
        <v>570</v>
      </c>
      <c r="AO36" s="199" t="s">
        <v>568</v>
      </c>
      <c r="AP36" s="186" t="s">
        <v>571</v>
      </c>
    </row>
    <row r="37" spans="1:42" ht="120">
      <c r="A37" s="222"/>
      <c r="B37" s="224"/>
      <c r="C37" s="224"/>
      <c r="D37" s="228"/>
      <c r="E37" s="224"/>
      <c r="F37" s="224"/>
      <c r="G37" s="224"/>
      <c r="H37" s="224"/>
      <c r="I37" s="224"/>
      <c r="J37" s="224"/>
      <c r="K37" s="230"/>
      <c r="L37" s="232"/>
      <c r="M37" s="236"/>
      <c r="N37" s="234"/>
      <c r="O37" s="226"/>
      <c r="P37" s="210"/>
      <c r="Q37" s="212"/>
      <c r="R37" s="210" t="e">
        <f>IF(OR(#REF!=datos!$AB$10,#REF!=datos!$AB$16),"",VLOOKUP(#REF!,datos!$AA$10:$AC$21,3,0))</f>
        <v>#REF!</v>
      </c>
      <c r="S37" s="208"/>
      <c r="T37" s="96">
        <v>2</v>
      </c>
      <c r="U37" s="79" t="s">
        <v>552</v>
      </c>
      <c r="V37" s="78" t="s">
        <v>553</v>
      </c>
      <c r="W37" s="78" t="s">
        <v>554</v>
      </c>
      <c r="X37" s="78" t="s">
        <v>555</v>
      </c>
      <c r="Y37" s="78" t="s">
        <v>556</v>
      </c>
      <c r="Z37" s="78" t="s">
        <v>557</v>
      </c>
      <c r="AA37" s="78" t="s">
        <v>558</v>
      </c>
      <c r="AB37" s="78" t="s">
        <v>559</v>
      </c>
      <c r="AC37" s="78" t="s">
        <v>538</v>
      </c>
      <c r="AD37" s="91" t="str">
        <f>IF(AE37="","",VLOOKUP(AE37,datos!$AT$6:$AU$9,2,0))</f>
        <v>Probabilidad</v>
      </c>
      <c r="AE37" s="79" t="s">
        <v>80</v>
      </c>
      <c r="AF37" s="79" t="s">
        <v>84</v>
      </c>
      <c r="AG37" s="87">
        <f>IF(AND(AE37="",AF37=""),"",IF(AE37="",0,VLOOKUP(AE37,datos!$AP$3:$AR$7,3,0))+IF(AF37="",0,VLOOKUP(AF37,datos!$AP$3:$AR$7,3,0)))</f>
        <v>0.4</v>
      </c>
      <c r="AH37" s="110" t="str">
        <f>IF(OR(AI37="",AI37=0),"",IF(AI37&lt;=datos!$AC$3,datos!$AE$3,IF(AI37&lt;=datos!$AC$4,datos!$AE$4,IF(AI37&lt;=datos!$AC$5,datos!$AE$5,IF(AI37&lt;=datos!$AC$6,datos!$AE$6,IF(AI37&lt;=datos!$AC$7,datos!$AE$7,""))))))</f>
        <v>Baja</v>
      </c>
      <c r="AI37" s="111">
        <f t="shared" si="5"/>
        <v>0.216</v>
      </c>
      <c r="AJ37" s="112" t="str">
        <f>+IF(AK37&lt;=datos!$AD$11,datos!$AC$11,IF(AK37&lt;=datos!$AD$12,datos!$AC$12,IF(AK37&lt;=datos!$AD$13,datos!$AC$13,IF(AK37&lt;=datos!$AD$14,datos!$AC$14,IF(AK37&lt;=datos!$AD$15,datos!$AC$15,"")))))</f>
        <v>Mayor</v>
      </c>
      <c r="AK37" s="111">
        <f t="shared" si="6"/>
        <v>0.8</v>
      </c>
      <c r="AL37" s="112" t="str">
        <f ca="1" t="shared" si="4"/>
        <v>Alto</v>
      </c>
      <c r="AM37" s="255"/>
      <c r="AN37" s="198"/>
      <c r="AO37" s="200"/>
      <c r="AP37" s="187"/>
    </row>
    <row r="38" spans="1:42" ht="132.75" thickBot="1">
      <c r="A38" s="222"/>
      <c r="B38" s="224"/>
      <c r="C38" s="224"/>
      <c r="D38" s="228"/>
      <c r="E38" s="224"/>
      <c r="F38" s="224"/>
      <c r="G38" s="224"/>
      <c r="H38" s="224"/>
      <c r="I38" s="224"/>
      <c r="J38" s="224"/>
      <c r="K38" s="230"/>
      <c r="L38" s="232"/>
      <c r="M38" s="236"/>
      <c r="N38" s="234"/>
      <c r="O38" s="226"/>
      <c r="P38" s="210"/>
      <c r="Q38" s="212"/>
      <c r="R38" s="210" t="e">
        <f>IF(OR(#REF!=datos!$AB$10,#REF!=datos!$AB$16),"",VLOOKUP(#REF!,datos!$AA$10:$AC$21,3,0))</f>
        <v>#REF!</v>
      </c>
      <c r="S38" s="208"/>
      <c r="T38" s="96">
        <v>3</v>
      </c>
      <c r="U38" s="79" t="s">
        <v>560</v>
      </c>
      <c r="V38" s="78" t="s">
        <v>545</v>
      </c>
      <c r="W38" s="78" t="s">
        <v>561</v>
      </c>
      <c r="X38" s="78" t="s">
        <v>562</v>
      </c>
      <c r="Y38" s="78" t="s">
        <v>563</v>
      </c>
      <c r="Z38" s="78" t="s">
        <v>564</v>
      </c>
      <c r="AA38" s="78" t="s">
        <v>565</v>
      </c>
      <c r="AB38" s="78" t="s">
        <v>566</v>
      </c>
      <c r="AC38" s="78" t="s">
        <v>538</v>
      </c>
      <c r="AD38" s="91" t="str">
        <f>IF(AE38="","",VLOOKUP(AE38,datos!$AT$6:$AU$9,2,0))</f>
        <v>Probabilidad</v>
      </c>
      <c r="AE38" s="79" t="s">
        <v>80</v>
      </c>
      <c r="AF38" s="79" t="s">
        <v>84</v>
      </c>
      <c r="AG38" s="87">
        <f>IF(AND(AE38="",AF38=""),"",IF(AE38="",0,VLOOKUP(AE38,datos!$AP$3:$AR$7,3,0))+IF(AF38="",0,VLOOKUP(AF38,datos!$AP$3:$AR$7,3,0)))</f>
        <v>0.4</v>
      </c>
      <c r="AH38" s="110" t="str">
        <f>IF(OR(AI38="",AI38=0),"",IF(AI38&lt;=datos!$AC$3,datos!$AE$3,IF(AI38&lt;=datos!$AC$4,datos!$AE$4,IF(AI38&lt;=datos!$AC$5,datos!$AE$5,IF(AI38&lt;=datos!$AC$6,datos!$AE$6,IF(AI38&lt;=datos!$AC$7,datos!$AE$7,""))))))</f>
        <v>Muy Baja</v>
      </c>
      <c r="AI38" s="111">
        <f t="shared" si="5"/>
        <v>0.1296</v>
      </c>
      <c r="AJ38" s="112" t="str">
        <f>+IF(AK38&lt;=datos!$AD$11,datos!$AC$11,IF(AK38&lt;=datos!$AD$12,datos!$AC$12,IF(AK38&lt;=datos!$AD$13,datos!$AC$13,IF(AK38&lt;=datos!$AD$14,datos!$AC$14,IF(AK38&lt;=datos!$AD$15,datos!$AC$15,"")))))</f>
        <v>Mayor</v>
      </c>
      <c r="AK38" s="111">
        <f t="shared" si="6"/>
        <v>0.8</v>
      </c>
      <c r="AL38" s="112" t="str">
        <f ca="1" t="shared" si="4"/>
        <v>Alto</v>
      </c>
      <c r="AM38" s="255"/>
      <c r="AN38" s="198"/>
      <c r="AO38" s="200"/>
      <c r="AP38" s="187"/>
    </row>
    <row r="39" spans="1:42" ht="60">
      <c r="A39" s="221">
        <v>16</v>
      </c>
      <c r="B39" s="223" t="s">
        <v>42</v>
      </c>
      <c r="C39" s="223" t="s">
        <v>249</v>
      </c>
      <c r="D39" s="227" t="str">
        <f>_xlfn.IFERROR(VLOOKUP(B39,datos!$B$1:$C$21,2,0),"")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39" s="223" t="s">
        <v>55</v>
      </c>
      <c r="F39" s="223" t="s">
        <v>572</v>
      </c>
      <c r="G39" s="223" t="s">
        <v>573</v>
      </c>
      <c r="H39" s="223" t="s">
        <v>233</v>
      </c>
      <c r="I39" s="223" t="s">
        <v>574</v>
      </c>
      <c r="J39" s="223" t="s">
        <v>575</v>
      </c>
      <c r="K39" s="229" t="s">
        <v>184</v>
      </c>
      <c r="L39" s="231" t="s">
        <v>57</v>
      </c>
      <c r="M39" s="235" t="s">
        <v>274</v>
      </c>
      <c r="N39" s="233">
        <v>89178</v>
      </c>
      <c r="O39" s="225" t="str">
        <f>_xlfn.IFERROR(VLOOKUP(P39,datos!$AC$2:$AE$7,3,0),"")</f>
        <v>Muy Alta</v>
      </c>
      <c r="P39" s="209">
        <f>+IF(OR(N39="",N39=0),"",IF(N39&lt;=datos!$AD$3,datos!$AC$3,IF(AND(N39&gt;datos!$AD$3,N39&lt;=datos!$AD$4),datos!$AC$4,IF(AND(N39&gt;datos!$AD$4,N39&lt;=datos!$AD$5),datos!$AC$5,IF(AND(N39&gt;datos!$AD$5,N39&lt;=datos!$AD$6),datos!$AC$6,IF(N39&gt;datos!$AD$7,datos!$AC$7,0))))))</f>
        <v>1</v>
      </c>
      <c r="Q39" s="211" t="str">
        <f>+HLOOKUP(A39,'Impacto Riesgo de Corrupción'!$D$8:$AQ$29,22,0)</f>
        <v>Catastrófico</v>
      </c>
      <c r="R39" s="209">
        <f>+IF(Q39="","",VLOOKUP(Q39,datos!$AC$12:$AD$15,2,0))</f>
        <v>1</v>
      </c>
      <c r="S39" s="207" t="str">
        <f ca="1">_xlfn.IFERROR(INDIRECT("datos!"&amp;HLOOKUP(Q39,calculo_imp,2,FALSE)&amp;VLOOKUP(O39,calculo_prob,2,FALSE)),"")</f>
        <v>Extremo</v>
      </c>
      <c r="T39" s="95">
        <v>1</v>
      </c>
      <c r="U39" s="83" t="s">
        <v>579</v>
      </c>
      <c r="V39" s="82" t="s">
        <v>580</v>
      </c>
      <c r="W39" s="82" t="s">
        <v>581</v>
      </c>
      <c r="X39" s="82" t="s">
        <v>582</v>
      </c>
      <c r="Y39" s="82" t="s">
        <v>583</v>
      </c>
      <c r="Z39" s="82" t="s">
        <v>584</v>
      </c>
      <c r="AA39" s="82" t="s">
        <v>585</v>
      </c>
      <c r="AB39" s="82" t="s">
        <v>586</v>
      </c>
      <c r="AC39" s="82" t="s">
        <v>587</v>
      </c>
      <c r="AD39" s="92" t="str">
        <f>IF(AE39="","",VLOOKUP(AE39,datos!$AT$6:$AU$9,2,0))</f>
        <v>Probabilidad</v>
      </c>
      <c r="AE39" s="83" t="s">
        <v>80</v>
      </c>
      <c r="AF39" s="83" t="s">
        <v>84</v>
      </c>
      <c r="AG39" s="86">
        <f>IF(AND(AE39="",AF39=""),"",IF(AE39="",0,VLOOKUP(AE39,datos!$AP$3:$AR$7,3,0))+IF(AF39="",0,VLOOKUP(AF39,datos!$AP$3:$AR$7,3,0)))</f>
        <v>0.4</v>
      </c>
      <c r="AH39" s="107" t="str">
        <f>IF(OR(AI39="",AI39=0),"",IF(AI39&lt;=datos!$AC$3,datos!$AE$3,IF(AI39&lt;=datos!$AC$4,datos!$AE$4,IF(AI39&lt;=datos!$AC$5,datos!$AE$5,IF(AI39&lt;=datos!$AC$6,datos!$AE$6,IF(AI39&lt;=datos!$AC$7,datos!$AE$7,""))))))</f>
        <v>Media</v>
      </c>
      <c r="AI39" s="108">
        <f>IF(AD39="","",IF(T39=1,IF(AD39="Probabilidad",P39-(P39*AG39),P39),IF(AD39="Probabilidad",#REF!-(#REF!*AG39),#REF!)))</f>
        <v>0.6</v>
      </c>
      <c r="AJ39" s="109" t="str">
        <f>+IF(AK39&lt;=datos!$AD$11,datos!$AC$11,IF(AK39&lt;=datos!$AD$12,datos!$AC$12,IF(AK39&lt;=datos!$AD$13,datos!$AC$13,IF(AK39&lt;=datos!$AD$14,datos!$AC$14,IF(AK39&lt;=datos!$AD$15,datos!$AC$15,"")))))</f>
        <v>Catastrófico</v>
      </c>
      <c r="AK39" s="108">
        <f>IF(AD39="","",IF(T39=1,IF(AD39="Impacto",R39-(R39*AG39),R39),IF(AD39="Impacto",#REF!-(#REF!*AG39),#REF!)))</f>
        <v>1</v>
      </c>
      <c r="AL39" s="109" t="str">
        <f ca="1" t="shared" si="4"/>
        <v>Extremo</v>
      </c>
      <c r="AM39" s="254" t="s">
        <v>92</v>
      </c>
      <c r="AN39" s="197" t="s">
        <v>602</v>
      </c>
      <c r="AO39" s="199">
        <v>45657</v>
      </c>
      <c r="AP39" s="186" t="s">
        <v>603</v>
      </c>
    </row>
    <row r="40" spans="1:42" ht="84.75" thickBot="1">
      <c r="A40" s="222"/>
      <c r="B40" s="224"/>
      <c r="C40" s="224"/>
      <c r="D40" s="228"/>
      <c r="E40" s="224"/>
      <c r="F40" s="224"/>
      <c r="G40" s="224"/>
      <c r="H40" s="224"/>
      <c r="I40" s="224"/>
      <c r="J40" s="224"/>
      <c r="K40" s="230"/>
      <c r="L40" s="232"/>
      <c r="M40" s="236"/>
      <c r="N40" s="234"/>
      <c r="O40" s="226"/>
      <c r="P40" s="210"/>
      <c r="Q40" s="212"/>
      <c r="R40" s="210" t="e">
        <f>IF(OR(#REF!=datos!$AB$10,#REF!=datos!$AB$16),"",VLOOKUP(#REF!,datos!$AA$10:$AC$21,3,0))</f>
        <v>#REF!</v>
      </c>
      <c r="S40" s="208"/>
      <c r="T40" s="96">
        <v>2</v>
      </c>
      <c r="U40" s="79" t="s">
        <v>579</v>
      </c>
      <c r="V40" s="78" t="s">
        <v>588</v>
      </c>
      <c r="W40" s="78" t="s">
        <v>589</v>
      </c>
      <c r="X40" s="78" t="s">
        <v>590</v>
      </c>
      <c r="Y40" s="78" t="s">
        <v>583</v>
      </c>
      <c r="Z40" s="78" t="s">
        <v>591</v>
      </c>
      <c r="AA40" s="78" t="s">
        <v>592</v>
      </c>
      <c r="AB40" s="78" t="s">
        <v>593</v>
      </c>
      <c r="AC40" s="78" t="s">
        <v>587</v>
      </c>
      <c r="AD40" s="91" t="str">
        <f>IF(AE40="","",VLOOKUP(AE40,datos!$AT$6:$AU$9,2,0))</f>
        <v>Probabilidad</v>
      </c>
      <c r="AE40" s="79" t="s">
        <v>80</v>
      </c>
      <c r="AF40" s="79" t="s">
        <v>84</v>
      </c>
      <c r="AG40" s="87">
        <f>IF(AND(AE40="",AF40=""),"",IF(AE40="",0,VLOOKUP(AE40,datos!$AP$3:$AR$7,3,0))+IF(AF40="",0,VLOOKUP(AF40,datos!$AP$3:$AR$7,3,0)))</f>
        <v>0.4</v>
      </c>
      <c r="AH40" s="110" t="str">
        <f>IF(OR(AI40="",AI40=0),"",IF(AI40&lt;=datos!$AC$3,datos!$AE$3,IF(AI40&lt;=datos!$AC$4,datos!$AE$4,IF(AI40&lt;=datos!$AC$5,datos!$AE$5,IF(AI40&lt;=datos!$AC$6,datos!$AE$6,IF(AI40&lt;=datos!$AC$7,datos!$AE$7,""))))))</f>
        <v>Baja</v>
      </c>
      <c r="AI40" s="111">
        <f t="shared" si="5"/>
        <v>0.36</v>
      </c>
      <c r="AJ40" s="112" t="str">
        <f>+IF(AK40&lt;=datos!$AD$11,datos!$AC$11,IF(AK40&lt;=datos!$AD$12,datos!$AC$12,IF(AK40&lt;=datos!$AD$13,datos!$AC$13,IF(AK40&lt;=datos!$AD$14,datos!$AC$14,IF(AK40&lt;=datos!$AD$15,datos!$AC$15,"")))))</f>
        <v>Catastrófico</v>
      </c>
      <c r="AK40" s="111">
        <f t="shared" si="6"/>
        <v>1</v>
      </c>
      <c r="AL40" s="112" t="str">
        <f ca="1" t="shared" si="4"/>
        <v>Extremo</v>
      </c>
      <c r="AM40" s="255"/>
      <c r="AN40" s="198"/>
      <c r="AO40" s="200"/>
      <c r="AP40" s="187"/>
    </row>
    <row r="41" spans="1:42" ht="180.75" thickBot="1">
      <c r="A41" s="145">
        <v>17</v>
      </c>
      <c r="B41" s="83" t="s">
        <v>42</v>
      </c>
      <c r="C41" s="83" t="s">
        <v>249</v>
      </c>
      <c r="D41" s="92" t="str">
        <f>_xlfn.IFERROR(VLOOKUP(B41,datos!$B$1:$C$21,2,0),"")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1" s="83" t="s">
        <v>55</v>
      </c>
      <c r="F41" s="83" t="s">
        <v>576</v>
      </c>
      <c r="G41" s="83" t="s">
        <v>577</v>
      </c>
      <c r="H41" s="83" t="s">
        <v>233</v>
      </c>
      <c r="I41" s="83" t="s">
        <v>574</v>
      </c>
      <c r="J41" s="83" t="s">
        <v>578</v>
      </c>
      <c r="K41" s="160" t="s">
        <v>184</v>
      </c>
      <c r="L41" s="148" t="s">
        <v>57</v>
      </c>
      <c r="M41" s="147" t="s">
        <v>274</v>
      </c>
      <c r="N41" s="149">
        <v>1176</v>
      </c>
      <c r="O41" s="109" t="str">
        <f>_xlfn.IFERROR(VLOOKUP(P41,datos!$AC$2:$AE$7,3,0),"")</f>
        <v>Alta</v>
      </c>
      <c r="P41" s="150">
        <f>+IF(OR(N41="",N41=0),"",IF(N41&lt;=datos!$AD$3,datos!$AC$3,IF(AND(N41&gt;datos!$AD$3,N41&lt;=datos!$AD$4),datos!$AC$4,IF(AND(N41&gt;datos!$AD$4,N41&lt;=datos!$AD$5),datos!$AC$5,IF(AND(N41&gt;datos!$AD$5,N41&lt;=datos!$AD$6),datos!$AC$6,IF(N41&gt;datos!$AD$7,datos!$AC$7,0))))))</f>
        <v>0.8</v>
      </c>
      <c r="Q41" s="159" t="str">
        <f>+HLOOKUP(A41,'Impacto Riesgo de Corrupción'!$D$8:$AQ$29,22,0)</f>
        <v>Catastrófico</v>
      </c>
      <c r="R41" s="150">
        <f>+IF(Q41="","",VLOOKUP(Q41,datos!$AC$12:$AD$15,2,0))</f>
        <v>1</v>
      </c>
      <c r="S41" s="158" t="str">
        <f ca="1">_xlfn.IFERROR(INDIRECT("datos!"&amp;HLOOKUP(Q41,calculo_imp,2,FALSE)&amp;VLOOKUP(O41,calculo_prob,2,FALSE)),"")</f>
        <v>Extremo</v>
      </c>
      <c r="T41" s="95">
        <v>1</v>
      </c>
      <c r="U41" s="83" t="s">
        <v>594</v>
      </c>
      <c r="V41" s="82" t="s">
        <v>595</v>
      </c>
      <c r="W41" s="82" t="s">
        <v>596</v>
      </c>
      <c r="X41" s="82" t="s">
        <v>597</v>
      </c>
      <c r="Y41" s="82" t="s">
        <v>598</v>
      </c>
      <c r="Z41" s="82" t="s">
        <v>599</v>
      </c>
      <c r="AA41" s="82" t="s">
        <v>600</v>
      </c>
      <c r="AB41" s="82" t="s">
        <v>601</v>
      </c>
      <c r="AC41" s="82" t="s">
        <v>587</v>
      </c>
      <c r="AD41" s="92" t="str">
        <f>IF(AE41="","",VLOOKUP(AE41,datos!$AT$6:$AU$9,2,0))</f>
        <v>Probabilidad</v>
      </c>
      <c r="AE41" s="83" t="s">
        <v>80</v>
      </c>
      <c r="AF41" s="83" t="s">
        <v>84</v>
      </c>
      <c r="AG41" s="86">
        <f>IF(AND(AE41="",AF41=""),"",IF(AE41="",0,VLOOKUP(AE41,datos!$AP$3:$AR$7,3,0))+IF(AF41="",0,VLOOKUP(AF41,datos!$AP$3:$AR$7,3,0)))</f>
        <v>0.4</v>
      </c>
      <c r="AH41" s="107" t="str">
        <f>IF(OR(AI41="",AI41=0),"",IF(AI41&lt;=datos!$AC$3,datos!$AE$3,IF(AI41&lt;=datos!$AC$4,datos!$AE$4,IF(AI41&lt;=datos!$AC$5,datos!$AE$5,IF(AI41&lt;=datos!$AC$6,datos!$AE$6,IF(AI41&lt;=datos!$AC$7,datos!$AE$7,""))))))</f>
        <v>Media</v>
      </c>
      <c r="AI41" s="108">
        <f>IF(AD41="","",IF(T41=1,IF(AD41="Probabilidad",P41-(P41*AG41),P41),IF(AD41="Probabilidad",#REF!-(#REF!*AG41),#REF!)))</f>
        <v>0.48</v>
      </c>
      <c r="AJ41" s="109" t="str">
        <f>+IF(AK41&lt;=datos!$AD$11,datos!$AC$11,IF(AK41&lt;=datos!$AD$12,datos!$AC$12,IF(AK41&lt;=datos!$AD$13,datos!$AC$13,IF(AK41&lt;=datos!$AD$14,datos!$AC$14,IF(AK41&lt;=datos!$AD$15,datos!$AC$15,"")))))</f>
        <v>Catastrófico</v>
      </c>
      <c r="AK41" s="108">
        <f>IF(AD41="","",IF(T41=1,IF(AD41="Impacto",R41-(R41*AG41),R41),IF(AD41="Impacto",#REF!-(#REF!*AG41),#REF!)))</f>
        <v>1</v>
      </c>
      <c r="AL41" s="109" t="str">
        <f ca="1" t="shared" si="4"/>
        <v>Extremo</v>
      </c>
      <c r="AM41" s="152" t="s">
        <v>92</v>
      </c>
      <c r="AN41" s="140" t="s">
        <v>604</v>
      </c>
      <c r="AO41" s="142">
        <v>45657</v>
      </c>
      <c r="AP41" s="156" t="s">
        <v>603</v>
      </c>
    </row>
    <row r="42" spans="1:42" ht="144">
      <c r="A42" s="221">
        <v>18</v>
      </c>
      <c r="B42" s="223" t="s">
        <v>42</v>
      </c>
      <c r="C42" s="223" t="s">
        <v>249</v>
      </c>
      <c r="D42" s="227" t="str">
        <f>_xlfn.IFERROR(VLOOKUP(B42,datos!$B$1:$C$21,2,0),"")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42" s="223" t="s">
        <v>54</v>
      </c>
      <c r="F42" s="223" t="s">
        <v>605</v>
      </c>
      <c r="G42" s="223" t="s">
        <v>606</v>
      </c>
      <c r="H42" s="223" t="s">
        <v>233</v>
      </c>
      <c r="I42" s="223"/>
      <c r="J42" s="223" t="s">
        <v>607</v>
      </c>
      <c r="K42" s="229" t="s">
        <v>184</v>
      </c>
      <c r="L42" s="231" t="s">
        <v>56</v>
      </c>
      <c r="M42" s="235" t="s">
        <v>274</v>
      </c>
      <c r="N42" s="233">
        <v>132</v>
      </c>
      <c r="O42" s="225" t="str">
        <f>_xlfn.IFERROR(VLOOKUP(P42,datos!$AC$2:$AE$7,3,0),"")</f>
        <v>Media</v>
      </c>
      <c r="P42" s="209">
        <f>+IF(OR(N42="",N42=0),"",IF(N42&lt;=datos!$AD$3,datos!$AC$3,IF(AND(N42&gt;datos!$AD$3,N42&lt;=datos!$AD$4),datos!$AC$4,IF(AND(N42&gt;datos!$AD$4,N42&lt;=datos!$AD$5),datos!$AC$5,IF(AND(N42&gt;datos!$AD$5,N42&lt;=datos!$AD$6),datos!$AC$6,IF(N42&gt;datos!$AD$7,datos!$AC$7,0))))))</f>
        <v>0.6</v>
      </c>
      <c r="Q42" s="211" t="str">
        <f>+HLOOKUP(A42,'Impacto Riesgo de Corrupción'!$D$8:$AQ$29,22,0)</f>
        <v>Mayor</v>
      </c>
      <c r="R42" s="209">
        <f>+IF(Q42="","",VLOOKUP(Q42,datos!$AC$12:$AD$15,2,0))</f>
        <v>0.8</v>
      </c>
      <c r="S42" s="207" t="str">
        <f ca="1">_xlfn.IFERROR(INDIRECT("datos!"&amp;HLOOKUP(Q42,calculo_imp,2,FALSE)&amp;VLOOKUP(O42,calculo_prob,2,FALSE)),"")</f>
        <v>Alto</v>
      </c>
      <c r="T42" s="95">
        <v>1</v>
      </c>
      <c r="U42" s="83" t="s">
        <v>608</v>
      </c>
      <c r="V42" s="82" t="s">
        <v>609</v>
      </c>
      <c r="W42" s="82" t="s">
        <v>610</v>
      </c>
      <c r="X42" s="82" t="s">
        <v>611</v>
      </c>
      <c r="Y42" s="82" t="s">
        <v>612</v>
      </c>
      <c r="Z42" s="82" t="s">
        <v>613</v>
      </c>
      <c r="AA42" s="82" t="s">
        <v>614</v>
      </c>
      <c r="AB42" s="82" t="s">
        <v>615</v>
      </c>
      <c r="AC42" s="82" t="s">
        <v>616</v>
      </c>
      <c r="AD42" s="92" t="str">
        <f>IF(AE42="","",VLOOKUP(AE42,datos!$AT$6:$AU$9,2,0))</f>
        <v>Probabilidad</v>
      </c>
      <c r="AE42" s="83" t="s">
        <v>80</v>
      </c>
      <c r="AF42" s="83" t="s">
        <v>84</v>
      </c>
      <c r="AG42" s="86">
        <f>IF(AND(AE42="",AF42=""),"",IF(AE42="",0,VLOOKUP(AE42,datos!$AP$3:$AR$7,3,0))+IF(AF42="",0,VLOOKUP(AF42,datos!$AP$3:$AR$7,3,0)))</f>
        <v>0.4</v>
      </c>
      <c r="AH42" s="107" t="str">
        <f>IF(OR(AI42="",AI42=0),"",IF(AI42&lt;=datos!$AC$3,datos!$AE$3,IF(AI42&lt;=datos!$AC$4,datos!$AE$4,IF(AI42&lt;=datos!$AC$5,datos!$AE$5,IF(AI42&lt;=datos!$AC$6,datos!$AE$6,IF(AI42&lt;=datos!$AC$7,datos!$AE$7,""))))))</f>
        <v>Baja</v>
      </c>
      <c r="AI42" s="108">
        <f>IF(AD42="","",IF(T42=1,IF(AD42="Probabilidad",P42-(P42*AG42),P42),IF(AD42="Probabilidad",#REF!-(#REF!*AG42),#REF!)))</f>
        <v>0.36</v>
      </c>
      <c r="AJ42" s="109" t="str">
        <f>+IF(AK42&lt;=datos!$AD$11,datos!$AC$11,IF(AK42&lt;=datos!$AD$12,datos!$AC$12,IF(AK42&lt;=datos!$AD$13,datos!$AC$13,IF(AK42&lt;=datos!$AD$14,datos!$AC$14,IF(AK42&lt;=datos!$AD$15,datos!$AC$15,"")))))</f>
        <v>Mayor</v>
      </c>
      <c r="AK42" s="108">
        <f>IF(AD42="","",IF(T42=1,IF(AD42="Impacto",R42-(R42*AG42),R42),IF(AD42="Impacto",#REF!-(#REF!*AG42),#REF!)))</f>
        <v>0.8</v>
      </c>
      <c r="AL42" s="109" t="str">
        <f ca="1" t="shared" si="4"/>
        <v>Alto</v>
      </c>
      <c r="AM42" s="254" t="s">
        <v>92</v>
      </c>
      <c r="AN42" s="197" t="s">
        <v>635</v>
      </c>
      <c r="AO42" s="199">
        <v>45657</v>
      </c>
      <c r="AP42" s="186" t="s">
        <v>636</v>
      </c>
    </row>
    <row r="43" spans="1:42" ht="96">
      <c r="A43" s="222"/>
      <c r="B43" s="224"/>
      <c r="C43" s="224"/>
      <c r="D43" s="228"/>
      <c r="E43" s="224"/>
      <c r="F43" s="224"/>
      <c r="G43" s="224"/>
      <c r="H43" s="224"/>
      <c r="I43" s="224"/>
      <c r="J43" s="224"/>
      <c r="K43" s="230"/>
      <c r="L43" s="232"/>
      <c r="M43" s="236"/>
      <c r="N43" s="234"/>
      <c r="O43" s="226"/>
      <c r="P43" s="210"/>
      <c r="Q43" s="212"/>
      <c r="R43" s="210" t="e">
        <f>IF(OR(#REF!=datos!$AB$10,#REF!=datos!$AB$16),"",VLOOKUP(#REF!,datos!$AA$10:$AC$21,3,0))</f>
        <v>#REF!</v>
      </c>
      <c r="S43" s="208"/>
      <c r="T43" s="96">
        <v>2</v>
      </c>
      <c r="U43" s="79" t="s">
        <v>617</v>
      </c>
      <c r="V43" s="78" t="s">
        <v>618</v>
      </c>
      <c r="W43" s="78" t="s">
        <v>619</v>
      </c>
      <c r="X43" s="78" t="s">
        <v>620</v>
      </c>
      <c r="Y43" s="78" t="s">
        <v>621</v>
      </c>
      <c r="Z43" s="78" t="s">
        <v>622</v>
      </c>
      <c r="AA43" s="78" t="s">
        <v>623</v>
      </c>
      <c r="AB43" s="78" t="s">
        <v>624</v>
      </c>
      <c r="AC43" s="78" t="s">
        <v>616</v>
      </c>
      <c r="AD43" s="91" t="str">
        <f>IF(AE43="","",VLOOKUP(AE43,datos!$AT$6:$AU$9,2,0))</f>
        <v>Probabilidad</v>
      </c>
      <c r="AE43" s="79" t="s">
        <v>80</v>
      </c>
      <c r="AF43" s="79" t="s">
        <v>84</v>
      </c>
      <c r="AG43" s="87">
        <f>IF(AND(AE43="",AF43=""),"",IF(AE43="",0,VLOOKUP(AE43,datos!$AP$3:$AR$7,3,0))+IF(AF43="",0,VLOOKUP(AF43,datos!$AP$3:$AR$7,3,0)))</f>
        <v>0.4</v>
      </c>
      <c r="AH43" s="110" t="str">
        <f>IF(OR(AI43="",AI43=0),"",IF(AI43&lt;=datos!$AC$3,datos!$AE$3,IF(AI43&lt;=datos!$AC$4,datos!$AE$4,IF(AI43&lt;=datos!$AC$5,datos!$AE$5,IF(AI43&lt;=datos!$AC$6,datos!$AE$6,IF(AI43&lt;=datos!$AC$7,datos!$AE$7,""))))))</f>
        <v>Baja</v>
      </c>
      <c r="AI43" s="111">
        <f t="shared" si="5"/>
        <v>0.216</v>
      </c>
      <c r="AJ43" s="112" t="str">
        <f>+IF(AK43&lt;=datos!$AD$11,datos!$AC$11,IF(AK43&lt;=datos!$AD$12,datos!$AC$12,IF(AK43&lt;=datos!$AD$13,datos!$AC$13,IF(AK43&lt;=datos!$AD$14,datos!$AC$14,IF(AK43&lt;=datos!$AD$15,datos!$AC$15,"")))))</f>
        <v>Mayor</v>
      </c>
      <c r="AK43" s="111">
        <f t="shared" si="6"/>
        <v>0.8</v>
      </c>
      <c r="AL43" s="112" t="str">
        <f ca="1" t="shared" si="4"/>
        <v>Alto</v>
      </c>
      <c r="AM43" s="255"/>
      <c r="AN43" s="198"/>
      <c r="AO43" s="200"/>
      <c r="AP43" s="187"/>
    </row>
    <row r="44" spans="1:42" ht="144">
      <c r="A44" s="222"/>
      <c r="B44" s="224"/>
      <c r="C44" s="224"/>
      <c r="D44" s="228"/>
      <c r="E44" s="224"/>
      <c r="F44" s="224"/>
      <c r="G44" s="224"/>
      <c r="H44" s="224"/>
      <c r="I44" s="224"/>
      <c r="J44" s="224"/>
      <c r="K44" s="230"/>
      <c r="L44" s="232"/>
      <c r="M44" s="236"/>
      <c r="N44" s="234"/>
      <c r="O44" s="226"/>
      <c r="P44" s="210"/>
      <c r="Q44" s="212"/>
      <c r="R44" s="210" t="e">
        <f>IF(OR(#REF!=datos!$AB$10,#REF!=datos!$AB$16),"",VLOOKUP(#REF!,datos!$AA$10:$AC$21,3,0))</f>
        <v>#REF!</v>
      </c>
      <c r="S44" s="208"/>
      <c r="T44" s="96">
        <v>3</v>
      </c>
      <c r="U44" s="79" t="s">
        <v>625</v>
      </c>
      <c r="V44" s="78" t="s">
        <v>618</v>
      </c>
      <c r="W44" s="78" t="s">
        <v>619</v>
      </c>
      <c r="X44" s="78" t="s">
        <v>626</v>
      </c>
      <c r="Y44" s="78" t="s">
        <v>627</v>
      </c>
      <c r="Z44" s="78" t="s">
        <v>628</v>
      </c>
      <c r="AA44" s="78" t="s">
        <v>629</v>
      </c>
      <c r="AB44" s="78" t="s">
        <v>630</v>
      </c>
      <c r="AC44" s="78" t="s">
        <v>616</v>
      </c>
      <c r="AD44" s="91" t="str">
        <f>IF(AE44="","",VLOOKUP(AE44,datos!$AT$6:$AU$9,2,0))</f>
        <v>Probabilidad</v>
      </c>
      <c r="AE44" s="79" t="s">
        <v>80</v>
      </c>
      <c r="AF44" s="79" t="s">
        <v>84</v>
      </c>
      <c r="AG44" s="87">
        <f>IF(AND(AE44="",AF44=""),"",IF(AE44="",0,VLOOKUP(AE44,datos!$AP$3:$AR$7,3,0))+IF(AF44="",0,VLOOKUP(AF44,datos!$AP$3:$AR$7,3,0)))</f>
        <v>0.4</v>
      </c>
      <c r="AH44" s="110" t="str">
        <f>IF(OR(AI44="",AI44=0),"",IF(AI44&lt;=datos!$AC$3,datos!$AE$3,IF(AI44&lt;=datos!$AC$4,datos!$AE$4,IF(AI44&lt;=datos!$AC$5,datos!$AE$5,IF(AI44&lt;=datos!$AC$6,datos!$AE$6,IF(AI44&lt;=datos!$AC$7,datos!$AE$7,""))))))</f>
        <v>Muy Baja</v>
      </c>
      <c r="AI44" s="111">
        <f t="shared" si="5"/>
        <v>0.1296</v>
      </c>
      <c r="AJ44" s="112" t="str">
        <f>+IF(AK44&lt;=datos!$AD$11,datos!$AC$11,IF(AK44&lt;=datos!$AD$12,datos!$AC$12,IF(AK44&lt;=datos!$AD$13,datos!$AC$13,IF(AK44&lt;=datos!$AD$14,datos!$AC$14,IF(AK44&lt;=datos!$AD$15,datos!$AC$15,"")))))</f>
        <v>Mayor</v>
      </c>
      <c r="AK44" s="111">
        <f t="shared" si="6"/>
        <v>0.8</v>
      </c>
      <c r="AL44" s="112" t="str">
        <f ca="1" t="shared" si="4"/>
        <v>Alto</v>
      </c>
      <c r="AM44" s="255"/>
      <c r="AN44" s="198"/>
      <c r="AO44" s="200"/>
      <c r="AP44" s="187"/>
    </row>
    <row r="45" spans="1:42" ht="60.75" thickBot="1">
      <c r="A45" s="222"/>
      <c r="B45" s="224"/>
      <c r="C45" s="224"/>
      <c r="D45" s="228"/>
      <c r="E45" s="224"/>
      <c r="F45" s="224"/>
      <c r="G45" s="224"/>
      <c r="H45" s="224"/>
      <c r="I45" s="224"/>
      <c r="J45" s="224"/>
      <c r="K45" s="230"/>
      <c r="L45" s="232"/>
      <c r="M45" s="236"/>
      <c r="N45" s="234"/>
      <c r="O45" s="226"/>
      <c r="P45" s="210"/>
      <c r="Q45" s="212"/>
      <c r="R45" s="210" t="e">
        <f>IF(OR(#REF!=datos!$AB$10,#REF!=datos!$AB$16),"",VLOOKUP(#REF!,datos!$AA$10:$AC$21,3,0))</f>
        <v>#REF!</v>
      </c>
      <c r="S45" s="208"/>
      <c r="T45" s="96">
        <v>4</v>
      </c>
      <c r="U45" s="79" t="s">
        <v>631</v>
      </c>
      <c r="V45" s="78" t="s">
        <v>618</v>
      </c>
      <c r="W45" s="78" t="s">
        <v>619</v>
      </c>
      <c r="X45" s="78" t="s">
        <v>632</v>
      </c>
      <c r="Y45" s="78" t="s">
        <v>633</v>
      </c>
      <c r="Z45" s="78" t="s">
        <v>628</v>
      </c>
      <c r="AA45" s="78" t="s">
        <v>634</v>
      </c>
      <c r="AB45" s="78" t="s">
        <v>630</v>
      </c>
      <c r="AC45" s="78" t="s">
        <v>616</v>
      </c>
      <c r="AD45" s="91" t="str">
        <f>IF(AE45="","",VLOOKUP(AE45,datos!$AT$6:$AU$9,2,0))</f>
        <v>Probabilidad</v>
      </c>
      <c r="AE45" s="79" t="s">
        <v>80</v>
      </c>
      <c r="AF45" s="79" t="s">
        <v>84</v>
      </c>
      <c r="AG45" s="87">
        <f>IF(AND(AE45="",AF45=""),"",IF(AE45="",0,VLOOKUP(AE45,datos!$AP$3:$AR$7,3,0))+IF(AF45="",0,VLOOKUP(AF45,datos!$AP$3:$AR$7,3,0)))</f>
        <v>0.4</v>
      </c>
      <c r="AH45" s="110" t="str">
        <f>IF(OR(AI45="",AI45=0),"",IF(AI45&lt;=datos!$AC$3,datos!$AE$3,IF(AI45&lt;=datos!$AC$4,datos!$AE$4,IF(AI45&lt;=datos!$AC$5,datos!$AE$5,IF(AI45&lt;=datos!$AC$6,datos!$AE$6,IF(AI45&lt;=datos!$AC$7,datos!$AE$7,""))))))</f>
        <v>Muy Baja</v>
      </c>
      <c r="AI45" s="111">
        <f t="shared" si="5"/>
        <v>0.07776</v>
      </c>
      <c r="AJ45" s="112" t="str">
        <f>+IF(AK45&lt;=datos!$AD$11,datos!$AC$11,IF(AK45&lt;=datos!$AD$12,datos!$AC$12,IF(AK45&lt;=datos!$AD$13,datos!$AC$13,IF(AK45&lt;=datos!$AD$14,datos!$AC$14,IF(AK45&lt;=datos!$AD$15,datos!$AC$15,"")))))</f>
        <v>Mayor</v>
      </c>
      <c r="AK45" s="111">
        <f t="shared" si="6"/>
        <v>0.8</v>
      </c>
      <c r="AL45" s="112" t="str">
        <f ca="1" t="shared" si="4"/>
        <v>Alto</v>
      </c>
      <c r="AM45" s="255"/>
      <c r="AN45" s="198"/>
      <c r="AO45" s="200"/>
      <c r="AP45" s="187"/>
    </row>
    <row r="46" spans="1:42" ht="180.75" thickBot="1">
      <c r="A46" s="145">
        <v>19</v>
      </c>
      <c r="B46" s="83" t="s">
        <v>40</v>
      </c>
      <c r="C46" s="83" t="s">
        <v>247</v>
      </c>
      <c r="D46" s="92" t="str">
        <f>_xlfn.IFERROR(VLOOKUP(B46,datos!$B$1:$C$21,2,0),"")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46" s="83" t="s">
        <v>55</v>
      </c>
      <c r="F46" s="83" t="s">
        <v>637</v>
      </c>
      <c r="G46" s="83" t="s">
        <v>638</v>
      </c>
      <c r="H46" s="83" t="s">
        <v>233</v>
      </c>
      <c r="I46" s="83" t="s">
        <v>286</v>
      </c>
      <c r="J46" s="83" t="s">
        <v>639</v>
      </c>
      <c r="K46" s="160" t="s">
        <v>184</v>
      </c>
      <c r="L46" s="148" t="s">
        <v>57</v>
      </c>
      <c r="M46" s="147" t="s">
        <v>274</v>
      </c>
      <c r="N46" s="149">
        <v>137</v>
      </c>
      <c r="O46" s="109" t="str">
        <f>_xlfn.IFERROR(VLOOKUP(P46,datos!$AC$2:$AE$7,3,0),"")</f>
        <v>Media</v>
      </c>
      <c r="P46" s="150">
        <f>+IF(OR(N46="",N46=0),"",IF(N46&lt;=datos!$AD$3,datos!$AC$3,IF(AND(N46&gt;datos!$AD$3,N46&lt;=datos!$AD$4),datos!$AC$4,IF(AND(N46&gt;datos!$AD$4,N46&lt;=datos!$AD$5),datos!$AC$5,IF(AND(N46&gt;datos!$AD$5,N46&lt;=datos!$AD$6),datos!$AC$6,IF(N46&gt;datos!$AD$7,datos!$AC$7,0))))))</f>
        <v>0.6</v>
      </c>
      <c r="Q46" s="159" t="str">
        <f>+HLOOKUP(A46,'Impacto Riesgo de Corrupción'!$D$8:$AQ$29,22,0)</f>
        <v>Mayor</v>
      </c>
      <c r="R46" s="150">
        <f>+IF(Q46="","",VLOOKUP(Q46,datos!$AC$12:$AD$15,2,0))</f>
        <v>0.8</v>
      </c>
      <c r="S46" s="158" t="str">
        <f ca="1">_xlfn.IFERROR(INDIRECT("datos!"&amp;HLOOKUP(Q46,calculo_imp,2,FALSE)&amp;VLOOKUP(O46,calculo_prob,2,FALSE)),"")</f>
        <v>Alto</v>
      </c>
      <c r="T46" s="95">
        <v>1</v>
      </c>
      <c r="U46" s="83" t="s">
        <v>643</v>
      </c>
      <c r="V46" s="82" t="s">
        <v>644</v>
      </c>
      <c r="W46" s="82" t="s">
        <v>645</v>
      </c>
      <c r="X46" s="82" t="s">
        <v>646</v>
      </c>
      <c r="Y46" s="82" t="s">
        <v>647</v>
      </c>
      <c r="Z46" s="82" t="s">
        <v>648</v>
      </c>
      <c r="AA46" s="82" t="s">
        <v>649</v>
      </c>
      <c r="AB46" s="82" t="s">
        <v>650</v>
      </c>
      <c r="AC46" s="82" t="s">
        <v>651</v>
      </c>
      <c r="AD46" s="92" t="str">
        <f>IF(AE46="","",VLOOKUP(AE46,datos!$AT$6:$AU$9,2,0))</f>
        <v>Probabilidad</v>
      </c>
      <c r="AE46" s="83" t="s">
        <v>80</v>
      </c>
      <c r="AF46" s="83" t="s">
        <v>84</v>
      </c>
      <c r="AG46" s="86">
        <f>IF(AND(AE46="",AF46=""),"",IF(AE46="",0,VLOOKUP(AE46,datos!$AP$3:$AR$7,3,0))+IF(AF46="",0,VLOOKUP(AF46,datos!$AP$3:$AR$7,3,0)))</f>
        <v>0.4</v>
      </c>
      <c r="AH46" s="107" t="str">
        <f>IF(OR(AI46="",AI46=0),"",IF(AI46&lt;=datos!$AC$3,datos!$AE$3,IF(AI46&lt;=datos!$AC$4,datos!$AE$4,IF(AI46&lt;=datos!$AC$5,datos!$AE$5,IF(AI46&lt;=datos!$AC$6,datos!$AE$6,IF(AI46&lt;=datos!$AC$7,datos!$AE$7,""))))))</f>
        <v>Baja</v>
      </c>
      <c r="AI46" s="108">
        <f>IF(AD46="","",IF(T46=1,IF(AD46="Probabilidad",P46-(P46*AG46),P46),IF(AD46="Probabilidad",#REF!-(#REF!*AG46),#REF!)))</f>
        <v>0.36</v>
      </c>
      <c r="AJ46" s="109" t="str">
        <f>+IF(AK46&lt;=datos!$AD$11,datos!$AC$11,IF(AK46&lt;=datos!$AD$12,datos!$AC$12,IF(AK46&lt;=datos!$AD$13,datos!$AC$13,IF(AK46&lt;=datos!$AD$14,datos!$AC$14,IF(AK46&lt;=datos!$AD$15,datos!$AC$15,"")))))</f>
        <v>Mayor</v>
      </c>
      <c r="AK46" s="108">
        <f>IF(AD46="","",IF(T46=1,IF(AD46="Impacto",R46-(R46*AG46),R46),IF(AD46="Impacto",#REF!-(#REF!*AG46),#REF!)))</f>
        <v>0.8</v>
      </c>
      <c r="AL46" s="109" t="str">
        <f ca="1" t="shared" si="4"/>
        <v>Alto</v>
      </c>
      <c r="AM46" s="152" t="s">
        <v>92</v>
      </c>
      <c r="AN46" s="140" t="s">
        <v>668</v>
      </c>
      <c r="AO46" s="142">
        <v>45594</v>
      </c>
      <c r="AP46" s="156" t="s">
        <v>669</v>
      </c>
    </row>
    <row r="47" spans="1:42" ht="276">
      <c r="A47" s="221">
        <v>20</v>
      </c>
      <c r="B47" s="223" t="s">
        <v>40</v>
      </c>
      <c r="C47" s="223" t="s">
        <v>247</v>
      </c>
      <c r="D47" s="227" t="str">
        <f>_xlfn.IFERROR(VLOOKUP(B47,datos!$B$1:$C$21,2,0),"")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47" s="223" t="s">
        <v>55</v>
      </c>
      <c r="F47" s="223" t="s">
        <v>640</v>
      </c>
      <c r="G47" s="223" t="s">
        <v>641</v>
      </c>
      <c r="H47" s="223" t="s">
        <v>233</v>
      </c>
      <c r="I47" s="223" t="s">
        <v>286</v>
      </c>
      <c r="J47" s="223" t="s">
        <v>642</v>
      </c>
      <c r="K47" s="229" t="s">
        <v>184</v>
      </c>
      <c r="L47" s="231" t="s">
        <v>57</v>
      </c>
      <c r="M47" s="235" t="s">
        <v>274</v>
      </c>
      <c r="N47" s="233">
        <v>1992</v>
      </c>
      <c r="O47" s="225" t="str">
        <f>_xlfn.IFERROR(VLOOKUP(P47,datos!$AC$2:$AE$7,3,0),"")</f>
        <v>Alta</v>
      </c>
      <c r="P47" s="209">
        <f>+IF(OR(N47="",N47=0),"",IF(N47&lt;=datos!$AD$3,datos!$AC$3,IF(AND(N47&gt;datos!$AD$3,N47&lt;=datos!$AD$4),datos!$AC$4,IF(AND(N47&gt;datos!$AD$4,N47&lt;=datos!$AD$5),datos!$AC$5,IF(AND(N47&gt;datos!$AD$5,N47&lt;=datos!$AD$6),datos!$AC$6,IF(N47&gt;datos!$AD$7,datos!$AC$7,0))))))</f>
        <v>0.8</v>
      </c>
      <c r="Q47" s="211" t="str">
        <f>+HLOOKUP(A47,'Impacto Riesgo de Corrupción'!$D$8:$AQ$29,22,0)</f>
        <v>Mayor</v>
      </c>
      <c r="R47" s="209">
        <f>+IF(Q47="","",VLOOKUP(Q47,datos!$AC$12:$AD$15,2,0))</f>
        <v>0.8</v>
      </c>
      <c r="S47" s="207" t="str">
        <f ca="1">_xlfn.IFERROR(INDIRECT("datos!"&amp;HLOOKUP(Q47,calculo_imp,2,FALSE)&amp;VLOOKUP(O47,calculo_prob,2,FALSE)),"")</f>
        <v>Alto</v>
      </c>
      <c r="T47" s="95">
        <v>1</v>
      </c>
      <c r="U47" s="83" t="s">
        <v>652</v>
      </c>
      <c r="V47" s="82" t="s">
        <v>653</v>
      </c>
      <c r="W47" s="82" t="s">
        <v>654</v>
      </c>
      <c r="X47" s="82" t="s">
        <v>655</v>
      </c>
      <c r="Y47" s="82" t="s">
        <v>656</v>
      </c>
      <c r="Z47" s="82" t="s">
        <v>657</v>
      </c>
      <c r="AA47" s="82" t="s">
        <v>658</v>
      </c>
      <c r="AB47" s="82" t="s">
        <v>659</v>
      </c>
      <c r="AC47" s="82" t="s">
        <v>651</v>
      </c>
      <c r="AD47" s="92" t="str">
        <f>IF(AE47="","",VLOOKUP(AE47,datos!$AT$6:$AU$9,2,0))</f>
        <v>Probabilidad</v>
      </c>
      <c r="AE47" s="83" t="s">
        <v>80</v>
      </c>
      <c r="AF47" s="83" t="s">
        <v>84</v>
      </c>
      <c r="AG47" s="86">
        <f>IF(AND(AE47="",AF47=""),"",IF(AE47="",0,VLOOKUP(AE47,datos!$AP$3:$AR$7,3,0))+IF(AF47="",0,VLOOKUP(AF47,datos!$AP$3:$AR$7,3,0)))</f>
        <v>0.4</v>
      </c>
      <c r="AH47" s="107" t="str">
        <f>IF(OR(AI47="",AI47=0),"",IF(AI47&lt;=datos!$AC$3,datos!$AE$3,IF(AI47&lt;=datos!$AC$4,datos!$AE$4,IF(AI47&lt;=datos!$AC$5,datos!$AE$5,IF(AI47&lt;=datos!$AC$6,datos!$AE$6,IF(AI47&lt;=datos!$AC$7,datos!$AE$7,""))))))</f>
        <v>Media</v>
      </c>
      <c r="AI47" s="108">
        <f>IF(AD47="","",IF(T47=1,IF(AD47="Probabilidad",P47-(P47*AG47),P47),IF(AD47="Probabilidad",#REF!-(#REF!*AG47),#REF!)))</f>
        <v>0.48</v>
      </c>
      <c r="AJ47" s="109" t="str">
        <f>+IF(AK47&lt;=datos!$AD$11,datos!$AC$11,IF(AK47&lt;=datos!$AD$12,datos!$AC$12,IF(AK47&lt;=datos!$AD$13,datos!$AC$13,IF(AK47&lt;=datos!$AD$14,datos!$AC$14,IF(AK47&lt;=datos!$AD$15,datos!$AC$15,"")))))</f>
        <v>Mayor</v>
      </c>
      <c r="AK47" s="108">
        <f>IF(AD47="","",IF(T47=1,IF(AD47="Impacto",R47-(R47*AG47),R47),IF(AD47="Impacto",#REF!-(#REF!*AG47),#REF!)))</f>
        <v>0.8</v>
      </c>
      <c r="AL47" s="109" t="str">
        <f ca="1" t="shared" si="4"/>
        <v>Alto</v>
      </c>
      <c r="AM47" s="254" t="s">
        <v>92</v>
      </c>
      <c r="AN47" s="197" t="s">
        <v>668</v>
      </c>
      <c r="AO47" s="199">
        <v>45594</v>
      </c>
      <c r="AP47" s="186" t="s">
        <v>669</v>
      </c>
    </row>
    <row r="48" spans="1:42" ht="60.75" thickBot="1">
      <c r="A48" s="222"/>
      <c r="B48" s="224"/>
      <c r="C48" s="224"/>
      <c r="D48" s="228"/>
      <c r="E48" s="224"/>
      <c r="F48" s="224"/>
      <c r="G48" s="224"/>
      <c r="H48" s="224"/>
      <c r="I48" s="224"/>
      <c r="J48" s="224"/>
      <c r="K48" s="230"/>
      <c r="L48" s="232"/>
      <c r="M48" s="236"/>
      <c r="N48" s="234"/>
      <c r="O48" s="226"/>
      <c r="P48" s="210"/>
      <c r="Q48" s="212"/>
      <c r="R48" s="210" t="e">
        <f>IF(OR(#REF!=datos!$AB$10,#REF!=datos!$AB$16),"",VLOOKUP(#REF!,datos!$AA$10:$AC$21,3,0))</f>
        <v>#REF!</v>
      </c>
      <c r="S48" s="208"/>
      <c r="T48" s="96">
        <v>2</v>
      </c>
      <c r="U48" s="79" t="s">
        <v>660</v>
      </c>
      <c r="V48" s="78" t="s">
        <v>661</v>
      </c>
      <c r="W48" s="78" t="s">
        <v>662</v>
      </c>
      <c r="X48" s="78" t="s">
        <v>663</v>
      </c>
      <c r="Y48" s="78" t="s">
        <v>664</v>
      </c>
      <c r="Z48" s="78" t="s">
        <v>665</v>
      </c>
      <c r="AA48" s="78" t="s">
        <v>666</v>
      </c>
      <c r="AB48" s="78" t="s">
        <v>667</v>
      </c>
      <c r="AC48" s="78" t="s">
        <v>651</v>
      </c>
      <c r="AD48" s="91" t="str">
        <f>IF(AE48="","",VLOOKUP(AE48,datos!$AT$6:$AU$9,2,0))</f>
        <v>Probabilidad</v>
      </c>
      <c r="AE48" s="79" t="s">
        <v>80</v>
      </c>
      <c r="AF48" s="79" t="s">
        <v>84</v>
      </c>
      <c r="AG48" s="87">
        <f>IF(AND(AE48="",AF48=""),"",IF(AE48="",0,VLOOKUP(AE48,datos!$AP$3:$AR$7,3,0))+IF(AF48="",0,VLOOKUP(AF48,datos!$AP$3:$AR$7,3,0)))</f>
        <v>0.4</v>
      </c>
      <c r="AH48" s="110" t="str">
        <f>IF(OR(AI48="",AI48=0),"",IF(AI48&lt;=datos!$AC$3,datos!$AE$3,IF(AI48&lt;=datos!$AC$4,datos!$AE$4,IF(AI48&lt;=datos!$AC$5,datos!$AE$5,IF(AI48&lt;=datos!$AC$6,datos!$AE$6,IF(AI48&lt;=datos!$AC$7,datos!$AE$7,""))))))</f>
        <v>Baja</v>
      </c>
      <c r="AI48" s="111">
        <f t="shared" si="5"/>
        <v>0.288</v>
      </c>
      <c r="AJ48" s="112" t="str">
        <f>+IF(AK48&lt;=datos!$AD$11,datos!$AC$11,IF(AK48&lt;=datos!$AD$12,datos!$AC$12,IF(AK48&lt;=datos!$AD$13,datos!$AC$13,IF(AK48&lt;=datos!$AD$14,datos!$AC$14,IF(AK48&lt;=datos!$AD$15,datos!$AC$15,"")))))</f>
        <v>Mayor</v>
      </c>
      <c r="AK48" s="111">
        <f t="shared" si="6"/>
        <v>0.8</v>
      </c>
      <c r="AL48" s="112" t="str">
        <f ca="1" t="shared" si="4"/>
        <v>Alto</v>
      </c>
      <c r="AM48" s="255"/>
      <c r="AN48" s="198"/>
      <c r="AO48" s="200"/>
      <c r="AP48" s="187"/>
    </row>
    <row r="49" spans="1:42" ht="132">
      <c r="A49" s="221">
        <v>21</v>
      </c>
      <c r="B49" s="223" t="s">
        <v>45</v>
      </c>
      <c r="C49" s="223" t="s">
        <v>250</v>
      </c>
      <c r="D49" s="227" t="str">
        <f>_xlfn.IFERROR(VLOOKUP(B49,datos!$B$1:$C$21,2,0),"")</f>
        <v>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v>
      </c>
      <c r="E49" s="223" t="s">
        <v>55</v>
      </c>
      <c r="F49" s="223" t="s">
        <v>670</v>
      </c>
      <c r="G49" s="223" t="s">
        <v>671</v>
      </c>
      <c r="H49" s="223" t="s">
        <v>233</v>
      </c>
      <c r="I49" s="223" t="s">
        <v>286</v>
      </c>
      <c r="J49" s="223" t="s">
        <v>672</v>
      </c>
      <c r="K49" s="229" t="s">
        <v>184</v>
      </c>
      <c r="L49" s="231" t="s">
        <v>57</v>
      </c>
      <c r="M49" s="235" t="s">
        <v>274</v>
      </c>
      <c r="N49" s="233">
        <v>10000</v>
      </c>
      <c r="O49" s="225" t="str">
        <f>_xlfn.IFERROR(VLOOKUP(P49,datos!$AC$2:$AE$7,3,0),"")</f>
        <v>Muy Alta</v>
      </c>
      <c r="P49" s="209">
        <f>+IF(OR(N49="",N49=0),"",IF(N49&lt;=datos!$AD$3,datos!$AC$3,IF(AND(N49&gt;datos!$AD$3,N49&lt;=datos!$AD$4),datos!$AC$4,IF(AND(N49&gt;datos!$AD$4,N49&lt;=datos!$AD$5),datos!$AC$5,IF(AND(N49&gt;datos!$AD$5,N49&lt;=datos!$AD$6),datos!$AC$6,IF(N49&gt;datos!$AD$7,datos!$AC$7,0))))))</f>
        <v>1</v>
      </c>
      <c r="Q49" s="211" t="str">
        <f>+HLOOKUP(A49,'Impacto Riesgo de Corrupción'!$D$8:$AQ$29,22,0)</f>
        <v>Mayor</v>
      </c>
      <c r="R49" s="209">
        <f>+IF(Q49="","",VLOOKUP(Q49,datos!$AC$12:$AD$15,2,0))</f>
        <v>0.8</v>
      </c>
      <c r="S49" s="207" t="str">
        <f ca="1">_xlfn.IFERROR(INDIRECT("datos!"&amp;HLOOKUP(Q49,calculo_imp,2,FALSE)&amp;VLOOKUP(O49,calculo_prob,2,FALSE)),"")</f>
        <v>Alto</v>
      </c>
      <c r="T49" s="95">
        <v>1</v>
      </c>
      <c r="U49" s="83" t="s">
        <v>673</v>
      </c>
      <c r="V49" s="82" t="s">
        <v>674</v>
      </c>
      <c r="W49" s="82" t="s">
        <v>675</v>
      </c>
      <c r="X49" s="82" t="s">
        <v>676</v>
      </c>
      <c r="Y49" s="82" t="s">
        <v>677</v>
      </c>
      <c r="Z49" s="82" t="s">
        <v>678</v>
      </c>
      <c r="AA49" s="82" t="s">
        <v>679</v>
      </c>
      <c r="AB49" s="181" t="s">
        <v>685</v>
      </c>
      <c r="AC49" s="181" t="s">
        <v>686</v>
      </c>
      <c r="AD49" s="92" t="str">
        <f>IF(AE49="","",VLOOKUP(AE49,datos!$AT$6:$AU$9,2,0))</f>
        <v>Probabilidad</v>
      </c>
      <c r="AE49" s="83" t="s">
        <v>81</v>
      </c>
      <c r="AF49" s="83" t="s">
        <v>84</v>
      </c>
      <c r="AG49" s="86">
        <f>IF(AND(AE49="",AF49=""),"",IF(AE49="",0,VLOOKUP(AE49,datos!$AP$3:$AR$7,3,0))+IF(AF49="",0,VLOOKUP(AF49,datos!$AP$3:$AR$7,3,0)))</f>
        <v>0.3</v>
      </c>
      <c r="AH49" s="107" t="str">
        <f>IF(OR(AI49="",AI49=0),"",IF(AI49&lt;=datos!$AC$3,datos!$AE$3,IF(AI49&lt;=datos!$AC$4,datos!$AE$4,IF(AI49&lt;=datos!$AC$5,datos!$AE$5,IF(AI49&lt;=datos!$AC$6,datos!$AE$6,IF(AI49&lt;=datos!$AC$7,datos!$AE$7,""))))))</f>
        <v>Alta</v>
      </c>
      <c r="AI49" s="108">
        <f>IF(AD49="","",IF(T49=1,IF(AD49="Probabilidad",P49-(P49*AG49),P49),IF(AD49="Probabilidad",#REF!-(#REF!*AG49),#REF!)))</f>
        <v>0.7</v>
      </c>
      <c r="AJ49" s="109" t="str">
        <f>+IF(AK49&lt;=datos!$AD$11,datos!$AC$11,IF(AK49&lt;=datos!$AD$12,datos!$AC$12,IF(AK49&lt;=datos!$AD$13,datos!$AC$13,IF(AK49&lt;=datos!$AD$14,datos!$AC$14,IF(AK49&lt;=datos!$AD$15,datos!$AC$15,"")))))</f>
        <v>Mayor</v>
      </c>
      <c r="AK49" s="108">
        <f>IF(AD49="","",IF(T49=1,IF(AD49="Impacto",R49-(R49*AG49),R49),IF(AD49="Impacto",#REF!-(#REF!*AG49),#REF!)))</f>
        <v>0.8</v>
      </c>
      <c r="AL49" s="109" t="str">
        <f ca="1" t="shared" si="4"/>
        <v>Alto</v>
      </c>
      <c r="AM49" s="254" t="s">
        <v>92</v>
      </c>
      <c r="AN49" s="197" t="s">
        <v>687</v>
      </c>
      <c r="AO49" s="199">
        <v>45657</v>
      </c>
      <c r="AP49" s="186" t="s">
        <v>688</v>
      </c>
    </row>
    <row r="50" spans="1:42" ht="132.75" thickBot="1">
      <c r="A50" s="222"/>
      <c r="B50" s="224"/>
      <c r="C50" s="224"/>
      <c r="D50" s="228"/>
      <c r="E50" s="224"/>
      <c r="F50" s="224"/>
      <c r="G50" s="224"/>
      <c r="H50" s="224"/>
      <c r="I50" s="224"/>
      <c r="J50" s="224"/>
      <c r="K50" s="230"/>
      <c r="L50" s="232"/>
      <c r="M50" s="236"/>
      <c r="N50" s="234"/>
      <c r="O50" s="226"/>
      <c r="P50" s="210"/>
      <c r="Q50" s="212"/>
      <c r="R50" s="210" t="e">
        <f>IF(OR(#REF!=datos!$AB$10,#REF!=datos!$AB$16),"",VLOOKUP(#REF!,datos!$AA$10:$AC$21,3,0))</f>
        <v>#REF!</v>
      </c>
      <c r="S50" s="208"/>
      <c r="T50" s="96">
        <v>2</v>
      </c>
      <c r="U50" s="79" t="s">
        <v>680</v>
      </c>
      <c r="V50" s="78" t="s">
        <v>674</v>
      </c>
      <c r="W50" s="78" t="s">
        <v>675</v>
      </c>
      <c r="X50" s="78" t="s">
        <v>681</v>
      </c>
      <c r="Y50" s="78" t="s">
        <v>682</v>
      </c>
      <c r="Z50" s="78" t="s">
        <v>683</v>
      </c>
      <c r="AA50" s="78" t="s">
        <v>684</v>
      </c>
      <c r="AB50" s="180" t="s">
        <v>685</v>
      </c>
      <c r="AC50" s="180" t="s">
        <v>686</v>
      </c>
      <c r="AD50" s="91" t="str">
        <f>IF(AE50="","",VLOOKUP(AE50,datos!$AT$6:$AU$9,2,0))</f>
        <v>Probabilidad</v>
      </c>
      <c r="AE50" s="79" t="s">
        <v>80</v>
      </c>
      <c r="AF50" s="79" t="s">
        <v>84</v>
      </c>
      <c r="AG50" s="87">
        <f>IF(AND(AE50="",AF50=""),"",IF(AE50="",0,VLOOKUP(AE50,datos!$AP$3:$AR$7,3,0))+IF(AF50="",0,VLOOKUP(AF50,datos!$AP$3:$AR$7,3,0)))</f>
        <v>0.4</v>
      </c>
      <c r="AH50" s="110" t="str">
        <f>IF(OR(AI50="",AI50=0),"",IF(AI50&lt;=datos!$AC$3,datos!$AE$3,IF(AI50&lt;=datos!$AC$4,datos!$AE$4,IF(AI50&lt;=datos!$AC$5,datos!$AE$5,IF(AI50&lt;=datos!$AC$6,datos!$AE$6,IF(AI50&lt;=datos!$AC$7,datos!$AE$7,""))))))</f>
        <v>Media</v>
      </c>
      <c r="AI50" s="111">
        <f t="shared" si="5"/>
        <v>0.42</v>
      </c>
      <c r="AJ50" s="112" t="str">
        <f>+IF(AK50&lt;=datos!$AD$11,datos!$AC$11,IF(AK50&lt;=datos!$AD$12,datos!$AC$12,IF(AK50&lt;=datos!$AD$13,datos!$AC$13,IF(AK50&lt;=datos!$AD$14,datos!$AC$14,IF(AK50&lt;=datos!$AD$15,datos!$AC$15,"")))))</f>
        <v>Mayor</v>
      </c>
      <c r="AK50" s="111">
        <f t="shared" si="6"/>
        <v>0.8</v>
      </c>
      <c r="AL50" s="112" t="str">
        <f ca="1" t="shared" si="4"/>
        <v>Alto</v>
      </c>
      <c r="AM50" s="255"/>
      <c r="AN50" s="198"/>
      <c r="AO50" s="200"/>
      <c r="AP50" s="187"/>
    </row>
    <row r="51" spans="1:42" ht="132">
      <c r="A51" s="221">
        <v>22</v>
      </c>
      <c r="B51" s="223" t="s">
        <v>44</v>
      </c>
      <c r="C51" s="223" t="s">
        <v>247</v>
      </c>
      <c r="D51" s="227" t="str">
        <f>_xlfn.IFERROR(VLOOKUP(B51,datos!$B$1:$C$21,2,0),"")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51" s="223" t="s">
        <v>55</v>
      </c>
      <c r="F51" s="223" t="s">
        <v>689</v>
      </c>
      <c r="G51" s="223" t="s">
        <v>690</v>
      </c>
      <c r="H51" s="223" t="s">
        <v>232</v>
      </c>
      <c r="I51" s="223" t="s">
        <v>691</v>
      </c>
      <c r="J51" s="223" t="s">
        <v>692</v>
      </c>
      <c r="K51" s="229" t="s">
        <v>184</v>
      </c>
      <c r="L51" s="231" t="s">
        <v>57</v>
      </c>
      <c r="M51" s="235" t="s">
        <v>274</v>
      </c>
      <c r="N51" s="233">
        <v>24</v>
      </c>
      <c r="O51" s="225" t="str">
        <f>_xlfn.IFERROR(VLOOKUP(P51,datos!$AC$2:$AE$7,3,0),"")</f>
        <v>Baja</v>
      </c>
      <c r="P51" s="209">
        <f>+IF(OR(N51="",N51=0),"",IF(N51&lt;=datos!$AD$3,datos!$AC$3,IF(AND(N51&gt;datos!$AD$3,N51&lt;=datos!$AD$4),datos!$AC$4,IF(AND(N51&gt;datos!$AD$4,N51&lt;=datos!$AD$5),datos!$AC$5,IF(AND(N51&gt;datos!$AD$5,N51&lt;=datos!$AD$6),datos!$AC$6,IF(N51&gt;datos!$AD$7,datos!$AC$7,0))))))</f>
        <v>0.4</v>
      </c>
      <c r="Q51" s="211" t="str">
        <f>+HLOOKUP(A51,'Impacto Riesgo de Corrupción'!$D$8:$AQ$29,22,0)</f>
        <v>Mayor</v>
      </c>
      <c r="R51" s="209">
        <f>+IF(Q51="","",VLOOKUP(Q51,datos!$AC$12:$AD$15,2,0))</f>
        <v>0.8</v>
      </c>
      <c r="S51" s="207" t="str">
        <f ca="1">_xlfn.IFERROR(INDIRECT("datos!"&amp;HLOOKUP(Q51,calculo_imp,2,FALSE)&amp;VLOOKUP(O51,calculo_prob,2,FALSE)),"")</f>
        <v>Alto</v>
      </c>
      <c r="T51" s="95">
        <v>1</v>
      </c>
      <c r="U51" s="83" t="s">
        <v>696</v>
      </c>
      <c r="V51" s="82" t="s">
        <v>697</v>
      </c>
      <c r="W51" s="82" t="s">
        <v>698</v>
      </c>
      <c r="X51" s="82" t="s">
        <v>699</v>
      </c>
      <c r="Y51" s="82" t="s">
        <v>700</v>
      </c>
      <c r="Z51" s="82" t="s">
        <v>701</v>
      </c>
      <c r="AA51" s="82" t="s">
        <v>702</v>
      </c>
      <c r="AB51" s="82" t="s">
        <v>703</v>
      </c>
      <c r="AC51" s="82" t="s">
        <v>704</v>
      </c>
      <c r="AD51" s="92" t="str">
        <f>IF(AE51="","",VLOOKUP(AE51,datos!$AT$6:$AU$9,2,0))</f>
        <v>Probabilidad</v>
      </c>
      <c r="AE51" s="83" t="s">
        <v>80</v>
      </c>
      <c r="AF51" s="83" t="s">
        <v>84</v>
      </c>
      <c r="AG51" s="86">
        <f>IF(AND(AE51="",AF51=""),"",IF(AE51="",0,VLOOKUP(AE51,datos!$AP$3:$AR$7,3,0))+IF(AF51="",0,VLOOKUP(AF51,datos!$AP$3:$AR$7,3,0)))</f>
        <v>0.4</v>
      </c>
      <c r="AH51" s="107" t="str">
        <f>IF(OR(AI51="",AI51=0),"",IF(AI51&lt;=datos!$AC$3,datos!$AE$3,IF(AI51&lt;=datos!$AC$4,datos!$AE$4,IF(AI51&lt;=datos!$AC$5,datos!$AE$5,IF(AI51&lt;=datos!$AC$6,datos!$AE$6,IF(AI51&lt;=datos!$AC$7,datos!$AE$7,""))))))</f>
        <v>Baja</v>
      </c>
      <c r="AI51" s="108">
        <f>IF(AD51="","",IF(T51=1,IF(AD51="Probabilidad",P51-(P51*AG51),P51),IF(AD51="Probabilidad",#REF!-(#REF!*AG51),#REF!)))</f>
        <v>0.24</v>
      </c>
      <c r="AJ51" s="109" t="str">
        <f>+IF(AK51&lt;=datos!$AD$11,datos!$AC$11,IF(AK51&lt;=datos!$AD$12,datos!$AC$12,IF(AK51&lt;=datos!$AD$13,datos!$AC$13,IF(AK51&lt;=datos!$AD$14,datos!$AC$14,IF(AK51&lt;=datos!$AD$15,datos!$AC$15,"")))))</f>
        <v>Mayor</v>
      </c>
      <c r="AK51" s="108">
        <f>IF(AD51="","",IF(T51=1,IF(AD51="Impacto",R51-(R51*AG51),R51),IF(AD51="Impacto",#REF!-(#REF!*AG51),#REF!)))</f>
        <v>0.8</v>
      </c>
      <c r="AL51" s="109" t="str">
        <f ca="1" t="shared" si="4"/>
        <v>Alto</v>
      </c>
      <c r="AM51" s="254" t="s">
        <v>92</v>
      </c>
      <c r="AN51" s="197" t="s">
        <v>729</v>
      </c>
      <c r="AO51" s="199">
        <v>45657</v>
      </c>
      <c r="AP51" s="186" t="s">
        <v>730</v>
      </c>
    </row>
    <row r="52" spans="1:42" ht="132">
      <c r="A52" s="222"/>
      <c r="B52" s="224"/>
      <c r="C52" s="224"/>
      <c r="D52" s="228"/>
      <c r="E52" s="224"/>
      <c r="F52" s="224"/>
      <c r="G52" s="224"/>
      <c r="H52" s="224"/>
      <c r="I52" s="224"/>
      <c r="J52" s="224"/>
      <c r="K52" s="230"/>
      <c r="L52" s="232"/>
      <c r="M52" s="236"/>
      <c r="N52" s="234"/>
      <c r="O52" s="226"/>
      <c r="P52" s="210"/>
      <c r="Q52" s="212"/>
      <c r="R52" s="210" t="e">
        <f>IF(OR(#REF!=datos!$AB$10,#REF!=datos!$AB$16),"",VLOOKUP(#REF!,datos!$AA$10:$AC$21,3,0))</f>
        <v>#REF!</v>
      </c>
      <c r="S52" s="208"/>
      <c r="T52" s="96">
        <v>2</v>
      </c>
      <c r="U52" s="79" t="s">
        <v>705</v>
      </c>
      <c r="V52" s="78" t="s">
        <v>697</v>
      </c>
      <c r="W52" s="78" t="s">
        <v>706</v>
      </c>
      <c r="X52" s="78" t="s">
        <v>707</v>
      </c>
      <c r="Y52" s="78" t="s">
        <v>708</v>
      </c>
      <c r="Z52" s="78" t="s">
        <v>709</v>
      </c>
      <c r="AA52" s="78" t="s">
        <v>710</v>
      </c>
      <c r="AB52" s="78" t="s">
        <v>703</v>
      </c>
      <c r="AC52" s="78" t="s">
        <v>704</v>
      </c>
      <c r="AD52" s="91" t="str">
        <f>IF(AE52="","",VLOOKUP(AE52,datos!$AT$6:$AU$9,2,0))</f>
        <v>Probabilidad</v>
      </c>
      <c r="AE52" s="79" t="s">
        <v>80</v>
      </c>
      <c r="AF52" s="79" t="s">
        <v>84</v>
      </c>
      <c r="AG52" s="87">
        <f>IF(AND(AE52="",AF52=""),"",IF(AE52="",0,VLOOKUP(AE52,datos!$AP$3:$AR$7,3,0))+IF(AF52="",0,VLOOKUP(AF52,datos!$AP$3:$AR$7,3,0)))</f>
        <v>0.4</v>
      </c>
      <c r="AH52" s="110" t="str">
        <f>IF(OR(AI52="",AI52=0),"",IF(AI52&lt;=datos!$AC$3,datos!$AE$3,IF(AI52&lt;=datos!$AC$4,datos!$AE$4,IF(AI52&lt;=datos!$AC$5,datos!$AE$5,IF(AI52&lt;=datos!$AC$6,datos!$AE$6,IF(AI52&lt;=datos!$AC$7,datos!$AE$7,""))))))</f>
        <v>Muy Baja</v>
      </c>
      <c r="AI52" s="111">
        <f t="shared" si="5"/>
        <v>0.144</v>
      </c>
      <c r="AJ52" s="112" t="str">
        <f>+IF(AK52&lt;=datos!$AD$11,datos!$AC$11,IF(AK52&lt;=datos!$AD$12,datos!$AC$12,IF(AK52&lt;=datos!$AD$13,datos!$AC$13,IF(AK52&lt;=datos!$AD$14,datos!$AC$14,IF(AK52&lt;=datos!$AD$15,datos!$AC$15,"")))))</f>
        <v>Mayor</v>
      </c>
      <c r="AK52" s="111">
        <f t="shared" si="6"/>
        <v>0.8</v>
      </c>
      <c r="AL52" s="112" t="str">
        <f ca="1" t="shared" si="4"/>
        <v>Alto</v>
      </c>
      <c r="AM52" s="255"/>
      <c r="AN52" s="198"/>
      <c r="AO52" s="200"/>
      <c r="AP52" s="187"/>
    </row>
    <row r="53" spans="1:42" ht="144">
      <c r="A53" s="222"/>
      <c r="B53" s="224"/>
      <c r="C53" s="224"/>
      <c r="D53" s="228"/>
      <c r="E53" s="224"/>
      <c r="F53" s="224"/>
      <c r="G53" s="224"/>
      <c r="H53" s="224"/>
      <c r="I53" s="224"/>
      <c r="J53" s="224"/>
      <c r="K53" s="230"/>
      <c r="L53" s="232"/>
      <c r="M53" s="236"/>
      <c r="N53" s="234"/>
      <c r="O53" s="226"/>
      <c r="P53" s="210"/>
      <c r="Q53" s="212"/>
      <c r="R53" s="210" t="e">
        <f>IF(OR(#REF!=datos!$AB$10,#REF!=datos!$AB$16),"",VLOOKUP(#REF!,datos!$AA$10:$AC$21,3,0))</f>
        <v>#REF!</v>
      </c>
      <c r="S53" s="208"/>
      <c r="T53" s="96">
        <v>3</v>
      </c>
      <c r="U53" s="79" t="s">
        <v>711</v>
      </c>
      <c r="V53" s="78" t="s">
        <v>712</v>
      </c>
      <c r="W53" s="78" t="s">
        <v>706</v>
      </c>
      <c r="X53" s="78" t="s">
        <v>713</v>
      </c>
      <c r="Y53" s="78" t="s">
        <v>714</v>
      </c>
      <c r="Z53" s="78" t="s">
        <v>715</v>
      </c>
      <c r="AA53" s="78" t="s">
        <v>716</v>
      </c>
      <c r="AB53" s="78" t="s">
        <v>703</v>
      </c>
      <c r="AC53" s="78" t="s">
        <v>704</v>
      </c>
      <c r="AD53" s="91" t="str">
        <f>IF(AE53="","",VLOOKUP(AE53,datos!$AT$6:$AU$9,2,0))</f>
        <v>Probabilidad</v>
      </c>
      <c r="AE53" s="79" t="s">
        <v>80</v>
      </c>
      <c r="AF53" s="79" t="s">
        <v>84</v>
      </c>
      <c r="AG53" s="87">
        <f>IF(AND(AE53="",AF53=""),"",IF(AE53="",0,VLOOKUP(AE53,datos!$AP$3:$AR$7,3,0))+IF(AF53="",0,VLOOKUP(AF53,datos!$AP$3:$AR$7,3,0)))</f>
        <v>0.4</v>
      </c>
      <c r="AH53" s="110" t="str">
        <f>IF(OR(AI53="",AI53=0),"",IF(AI53&lt;=datos!$AC$3,datos!$AE$3,IF(AI53&lt;=datos!$AC$4,datos!$AE$4,IF(AI53&lt;=datos!$AC$5,datos!$AE$5,IF(AI53&lt;=datos!$AC$6,datos!$AE$6,IF(AI53&lt;=datos!$AC$7,datos!$AE$7,""))))))</f>
        <v>Muy Baja</v>
      </c>
      <c r="AI53" s="111">
        <f t="shared" si="5"/>
        <v>0.08639999999999999</v>
      </c>
      <c r="AJ53" s="112" t="str">
        <f>+IF(AK53&lt;=datos!$AD$11,datos!$AC$11,IF(AK53&lt;=datos!$AD$12,datos!$AC$12,IF(AK53&lt;=datos!$AD$13,datos!$AC$13,IF(AK53&lt;=datos!$AD$14,datos!$AC$14,IF(AK53&lt;=datos!$AD$15,datos!$AC$15,"")))))</f>
        <v>Mayor</v>
      </c>
      <c r="AK53" s="111">
        <f t="shared" si="6"/>
        <v>0.8</v>
      </c>
      <c r="AL53" s="112" t="str">
        <f ca="1" t="shared" si="4"/>
        <v>Alto</v>
      </c>
      <c r="AM53" s="255"/>
      <c r="AN53" s="198"/>
      <c r="AO53" s="200"/>
      <c r="AP53" s="187"/>
    </row>
    <row r="54" spans="1:42" ht="132">
      <c r="A54" s="222"/>
      <c r="B54" s="224"/>
      <c r="C54" s="224"/>
      <c r="D54" s="228"/>
      <c r="E54" s="224"/>
      <c r="F54" s="224"/>
      <c r="G54" s="224"/>
      <c r="H54" s="224"/>
      <c r="I54" s="224"/>
      <c r="J54" s="224"/>
      <c r="K54" s="230"/>
      <c r="L54" s="232"/>
      <c r="M54" s="236"/>
      <c r="N54" s="234"/>
      <c r="O54" s="226"/>
      <c r="P54" s="210"/>
      <c r="Q54" s="212"/>
      <c r="R54" s="210" t="e">
        <f>IF(OR(#REF!=datos!$AB$10,#REF!=datos!$AB$16),"",VLOOKUP(#REF!,datos!$AA$10:$AC$21,3,0))</f>
        <v>#REF!</v>
      </c>
      <c r="S54" s="208"/>
      <c r="T54" s="96">
        <v>4</v>
      </c>
      <c r="U54" s="79" t="s">
        <v>717</v>
      </c>
      <c r="V54" s="78" t="s">
        <v>697</v>
      </c>
      <c r="W54" s="78" t="s">
        <v>706</v>
      </c>
      <c r="X54" s="78" t="s">
        <v>718</v>
      </c>
      <c r="Y54" s="78" t="s">
        <v>719</v>
      </c>
      <c r="Z54" s="78" t="s">
        <v>720</v>
      </c>
      <c r="AA54" s="78" t="s">
        <v>721</v>
      </c>
      <c r="AB54" s="78" t="s">
        <v>703</v>
      </c>
      <c r="AC54" s="78" t="s">
        <v>704</v>
      </c>
      <c r="AD54" s="91" t="str">
        <f>IF(AE54="","",VLOOKUP(AE54,datos!$AT$6:$AU$9,2,0))</f>
        <v>Probabilidad</v>
      </c>
      <c r="AE54" s="79" t="s">
        <v>80</v>
      </c>
      <c r="AF54" s="79" t="s">
        <v>84</v>
      </c>
      <c r="AG54" s="87">
        <f>IF(AND(AE54="",AF54=""),"",IF(AE54="",0,VLOOKUP(AE54,datos!$AP$3:$AR$7,3,0))+IF(AF54="",0,VLOOKUP(AF54,datos!$AP$3:$AR$7,3,0)))</f>
        <v>0.4</v>
      </c>
      <c r="AH54" s="110" t="str">
        <f>IF(OR(AI54="",AI54=0),"",IF(AI54&lt;=datos!$AC$3,datos!$AE$3,IF(AI54&lt;=datos!$AC$4,datos!$AE$4,IF(AI54&lt;=datos!$AC$5,datos!$AE$5,IF(AI54&lt;=datos!$AC$6,datos!$AE$6,IF(AI54&lt;=datos!$AC$7,datos!$AE$7,""))))))</f>
        <v>Muy Baja</v>
      </c>
      <c r="AI54" s="111">
        <f t="shared" si="5"/>
        <v>0.05183999999999999</v>
      </c>
      <c r="AJ54" s="112" t="str">
        <f>+IF(AK54&lt;=datos!$AD$11,datos!$AC$11,IF(AK54&lt;=datos!$AD$12,datos!$AC$12,IF(AK54&lt;=datos!$AD$13,datos!$AC$13,IF(AK54&lt;=datos!$AD$14,datos!$AC$14,IF(AK54&lt;=datos!$AD$15,datos!$AC$15,"")))))</f>
        <v>Mayor</v>
      </c>
      <c r="AK54" s="111">
        <f t="shared" si="6"/>
        <v>0.8</v>
      </c>
      <c r="AL54" s="112" t="str">
        <f ca="1" t="shared" si="4"/>
        <v>Alto</v>
      </c>
      <c r="AM54" s="255"/>
      <c r="AN54" s="198"/>
      <c r="AO54" s="200"/>
      <c r="AP54" s="187"/>
    </row>
    <row r="55" spans="1:42" ht="132.75" thickBot="1">
      <c r="A55" s="265"/>
      <c r="B55" s="261"/>
      <c r="C55" s="261"/>
      <c r="D55" s="266"/>
      <c r="E55" s="261"/>
      <c r="F55" s="261"/>
      <c r="G55" s="261"/>
      <c r="H55" s="261"/>
      <c r="I55" s="261"/>
      <c r="J55" s="261"/>
      <c r="K55" s="270"/>
      <c r="L55" s="271"/>
      <c r="M55" s="272"/>
      <c r="N55" s="273"/>
      <c r="O55" s="274"/>
      <c r="P55" s="262"/>
      <c r="Q55" s="275"/>
      <c r="R55" s="262" t="e">
        <f>IF(OR(#REF!=datos!$AB$10,#REF!=datos!$AB$16),"",VLOOKUP(#REF!,datos!$AA$10:$AC$21,3,0))</f>
        <v>#REF!</v>
      </c>
      <c r="S55" s="267"/>
      <c r="T55" s="98">
        <v>5</v>
      </c>
      <c r="U55" s="85" t="s">
        <v>722</v>
      </c>
      <c r="V55" s="84" t="s">
        <v>697</v>
      </c>
      <c r="W55" s="84" t="s">
        <v>698</v>
      </c>
      <c r="X55" s="84" t="s">
        <v>723</v>
      </c>
      <c r="Y55" s="84" t="s">
        <v>724</v>
      </c>
      <c r="Z55" s="84" t="s">
        <v>725</v>
      </c>
      <c r="AA55" s="84" t="s">
        <v>726</v>
      </c>
      <c r="AB55" s="84" t="s">
        <v>703</v>
      </c>
      <c r="AC55" s="84" t="s">
        <v>704</v>
      </c>
      <c r="AD55" s="93" t="str">
        <f>IF(AE55="","",VLOOKUP(AE55,datos!$AT$6:$AU$9,2,0))</f>
        <v>Probabilidad</v>
      </c>
      <c r="AE55" s="85" t="s">
        <v>80</v>
      </c>
      <c r="AF55" s="85" t="s">
        <v>84</v>
      </c>
      <c r="AG55" s="88">
        <f>IF(AND(AE55="",AF55=""),"",IF(AE55="",0,VLOOKUP(AE55,datos!$AP$3:$AR$7,3,0))+IF(AF55="",0,VLOOKUP(AF55,datos!$AP$3:$AR$7,3,0)))</f>
        <v>0.4</v>
      </c>
      <c r="AH55" s="113" t="str">
        <f>IF(OR(AI55="",AI55=0),"",IF(AI55&lt;=datos!$AC$3,datos!$AE$3,IF(AI55&lt;=datos!$AC$4,datos!$AE$4,IF(AI55&lt;=datos!$AC$5,datos!$AE$5,IF(AI55&lt;=datos!$AC$6,datos!$AE$6,IF(AI55&lt;=datos!$AC$7,datos!$AE$7,""))))))</f>
        <v>Muy Baja</v>
      </c>
      <c r="AI55" s="114">
        <f t="shared" si="5"/>
        <v>0.031103999999999993</v>
      </c>
      <c r="AJ55" s="115" t="str">
        <f>+IF(AK55&lt;=datos!$AD$11,datos!$AC$11,IF(AK55&lt;=datos!$AD$12,datos!$AC$12,IF(AK55&lt;=datos!$AD$13,datos!$AC$13,IF(AK55&lt;=datos!$AD$14,datos!$AC$14,IF(AK55&lt;=datos!$AD$15,datos!$AC$15,"")))))</f>
        <v>Mayor</v>
      </c>
      <c r="AK55" s="114">
        <f t="shared" si="6"/>
        <v>0.8</v>
      </c>
      <c r="AL55" s="115" t="str">
        <f ca="1" t="shared" si="4"/>
        <v>Alto</v>
      </c>
      <c r="AM55" s="268"/>
      <c r="AN55" s="269"/>
      <c r="AO55" s="263"/>
      <c r="AP55" s="264"/>
    </row>
    <row r="56" spans="1:42" ht="132">
      <c r="A56" s="221">
        <v>23</v>
      </c>
      <c r="B56" s="223" t="s">
        <v>44</v>
      </c>
      <c r="C56" s="223" t="s">
        <v>247</v>
      </c>
      <c r="D56" s="227" t="str">
        <f>_xlfn.IFERROR(VLOOKUP(B56,datos!$B$1:$C$21,2,0),"")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56" s="223" t="s">
        <v>55</v>
      </c>
      <c r="F56" s="223" t="s">
        <v>693</v>
      </c>
      <c r="G56" s="223" t="s">
        <v>694</v>
      </c>
      <c r="H56" s="223" t="s">
        <v>232</v>
      </c>
      <c r="I56" s="223" t="s">
        <v>691</v>
      </c>
      <c r="J56" s="223" t="s">
        <v>695</v>
      </c>
      <c r="K56" s="229" t="s">
        <v>184</v>
      </c>
      <c r="L56" s="231" t="s">
        <v>57</v>
      </c>
      <c r="M56" s="235" t="s">
        <v>274</v>
      </c>
      <c r="N56" s="233">
        <v>24</v>
      </c>
      <c r="O56" s="225" t="str">
        <f>_xlfn.IFERROR(VLOOKUP(P56,datos!$AC$2:$AE$7,3,0),"")</f>
        <v>Baja</v>
      </c>
      <c r="P56" s="209">
        <f>+IF(OR(N56="",N56=0),"",IF(N56&lt;=datos!$AD$3,datos!$AC$3,IF(AND(N56&gt;datos!$AD$3,N56&lt;=datos!$AD$4),datos!$AC$4,IF(AND(N56&gt;datos!$AD$4,N56&lt;=datos!$AD$5),datos!$AC$5,IF(AND(N56&gt;datos!$AD$5,N56&lt;=datos!$AD$6),datos!$AC$6,IF(N56&gt;datos!$AD$7,datos!$AC$7,0))))))</f>
        <v>0.4</v>
      </c>
      <c r="Q56" s="211" t="str">
        <f>+HLOOKUP(A56,'Impacto Riesgo de Corrupción'!$D$8:$AQ$29,22,0)</f>
        <v>Mayor</v>
      </c>
      <c r="R56" s="209">
        <f>+IF(Q56="","",VLOOKUP(Q56,datos!$AC$12:$AD$15,2,0))</f>
        <v>0.8</v>
      </c>
      <c r="S56" s="207" t="str">
        <f ca="1">_xlfn.IFERROR(INDIRECT("datos!"&amp;HLOOKUP(Q56,calculo_imp,2,FALSE)&amp;VLOOKUP(O56,calculo_prob,2,FALSE)),"")</f>
        <v>Alto</v>
      </c>
      <c r="T56" s="95">
        <v>1</v>
      </c>
      <c r="U56" s="83" t="s">
        <v>696</v>
      </c>
      <c r="V56" s="82" t="s">
        <v>697</v>
      </c>
      <c r="W56" s="82" t="s">
        <v>698</v>
      </c>
      <c r="X56" s="82" t="s">
        <v>699</v>
      </c>
      <c r="Y56" s="82" t="s">
        <v>700</v>
      </c>
      <c r="Z56" s="82" t="s">
        <v>701</v>
      </c>
      <c r="AA56" s="82" t="s">
        <v>702</v>
      </c>
      <c r="AB56" s="82" t="s">
        <v>703</v>
      </c>
      <c r="AC56" s="82" t="s">
        <v>704</v>
      </c>
      <c r="AD56" s="92" t="str">
        <f>IF(AE56="","",VLOOKUP(AE56,datos!$AT$6:$AU$9,2,0))</f>
        <v>Probabilidad</v>
      </c>
      <c r="AE56" s="83" t="s">
        <v>80</v>
      </c>
      <c r="AF56" s="83" t="s">
        <v>84</v>
      </c>
      <c r="AG56" s="86">
        <f>IF(AND(AE56="",AF56=""),"",IF(AE56="",0,VLOOKUP(AE56,datos!$AP$3:$AR$7,3,0))+IF(AF56="",0,VLOOKUP(AF56,datos!$AP$3:$AR$7,3,0)))</f>
        <v>0.4</v>
      </c>
      <c r="AH56" s="107" t="str">
        <f>IF(OR(AI56="",AI56=0),"",IF(AI56&lt;=datos!$AC$3,datos!$AE$3,IF(AI56&lt;=datos!$AC$4,datos!$AE$4,IF(AI56&lt;=datos!$AC$5,datos!$AE$5,IF(AI56&lt;=datos!$AC$6,datos!$AE$6,IF(AI56&lt;=datos!$AC$7,datos!$AE$7,""))))))</f>
        <v>Baja</v>
      </c>
      <c r="AI56" s="108">
        <f t="shared" si="5"/>
        <v>0.24</v>
      </c>
      <c r="AJ56" s="109" t="str">
        <f>+IF(AK56&lt;=datos!$AD$11,datos!$AC$11,IF(AK56&lt;=datos!$AD$12,datos!$AC$12,IF(AK56&lt;=datos!$AD$13,datos!$AC$13,IF(AK56&lt;=datos!$AD$14,datos!$AC$14,IF(AK56&lt;=datos!$AD$15,datos!$AC$15,"")))))</f>
        <v>Mayor</v>
      </c>
      <c r="AK56" s="108">
        <f t="shared" si="6"/>
        <v>0.8</v>
      </c>
      <c r="AL56" s="109" t="str">
        <f ca="1" t="shared" si="4"/>
        <v>Alto</v>
      </c>
      <c r="AM56" s="254" t="s">
        <v>92</v>
      </c>
      <c r="AN56" s="197" t="s">
        <v>729</v>
      </c>
      <c r="AO56" s="199">
        <v>45657</v>
      </c>
      <c r="AP56" s="186" t="s">
        <v>730</v>
      </c>
    </row>
    <row r="57" spans="1:42" ht="132">
      <c r="A57" s="222"/>
      <c r="B57" s="224"/>
      <c r="C57" s="224"/>
      <c r="D57" s="228"/>
      <c r="E57" s="224"/>
      <c r="F57" s="224"/>
      <c r="G57" s="224"/>
      <c r="H57" s="224"/>
      <c r="I57" s="224"/>
      <c r="J57" s="224"/>
      <c r="K57" s="230"/>
      <c r="L57" s="232"/>
      <c r="M57" s="236"/>
      <c r="N57" s="234"/>
      <c r="O57" s="226"/>
      <c r="P57" s="210"/>
      <c r="Q57" s="212"/>
      <c r="R57" s="210" t="e">
        <f>IF(OR(#REF!=datos!$AB$10,#REF!=datos!$AB$16),"",VLOOKUP(#REF!,datos!$AA$10:$AC$21,3,0))</f>
        <v>#REF!</v>
      </c>
      <c r="S57" s="208"/>
      <c r="T57" s="96">
        <v>2</v>
      </c>
      <c r="U57" s="79" t="s">
        <v>705</v>
      </c>
      <c r="V57" s="78" t="s">
        <v>697</v>
      </c>
      <c r="W57" s="78" t="s">
        <v>706</v>
      </c>
      <c r="X57" s="78" t="s">
        <v>707</v>
      </c>
      <c r="Y57" s="78" t="s">
        <v>708</v>
      </c>
      <c r="Z57" s="78" t="s">
        <v>727</v>
      </c>
      <c r="AA57" s="78" t="s">
        <v>710</v>
      </c>
      <c r="AB57" s="78" t="s">
        <v>703</v>
      </c>
      <c r="AC57" s="78" t="s">
        <v>704</v>
      </c>
      <c r="AD57" s="91" t="str">
        <f>IF(AE57="","",VLOOKUP(AE57,datos!$AT$6:$AU$9,2,0))</f>
        <v>Probabilidad</v>
      </c>
      <c r="AE57" s="79" t="s">
        <v>80</v>
      </c>
      <c r="AF57" s="79" t="s">
        <v>84</v>
      </c>
      <c r="AG57" s="87">
        <f>IF(AND(AE57="",AF57=""),"",IF(AE57="",0,VLOOKUP(AE57,datos!$AP$3:$AR$7,3,0))+IF(AF57="",0,VLOOKUP(AF57,datos!$AP$3:$AR$7,3,0)))</f>
        <v>0.4</v>
      </c>
      <c r="AH57" s="110" t="str">
        <f>IF(OR(AI57="",AI57=0),"",IF(AI57&lt;=datos!$AC$3,datos!$AE$3,IF(AI57&lt;=datos!$AC$4,datos!$AE$4,IF(AI57&lt;=datos!$AC$5,datos!$AE$5,IF(AI57&lt;=datos!$AC$6,datos!$AE$6,IF(AI57&lt;=datos!$AC$7,datos!$AE$7,""))))))</f>
        <v>Muy Baja</v>
      </c>
      <c r="AI57" s="111">
        <f t="shared" si="5"/>
        <v>0.144</v>
      </c>
      <c r="AJ57" s="112" t="str">
        <f>+IF(AK57&lt;=datos!$AD$11,datos!$AC$11,IF(AK57&lt;=datos!$AD$12,datos!$AC$12,IF(AK57&lt;=datos!$AD$13,datos!$AC$13,IF(AK57&lt;=datos!$AD$14,datos!$AC$14,IF(AK57&lt;=datos!$AD$15,datos!$AC$15,"")))))</f>
        <v>Mayor</v>
      </c>
      <c r="AK57" s="111">
        <f t="shared" si="6"/>
        <v>0.8</v>
      </c>
      <c r="AL57" s="112" t="str">
        <f ca="1" t="shared" si="4"/>
        <v>Alto</v>
      </c>
      <c r="AM57" s="255"/>
      <c r="AN57" s="198"/>
      <c r="AO57" s="200"/>
      <c r="AP57" s="187"/>
    </row>
    <row r="58" spans="1:42" ht="144">
      <c r="A58" s="222"/>
      <c r="B58" s="224"/>
      <c r="C58" s="224"/>
      <c r="D58" s="228"/>
      <c r="E58" s="224"/>
      <c r="F58" s="224"/>
      <c r="G58" s="224"/>
      <c r="H58" s="224"/>
      <c r="I58" s="224"/>
      <c r="J58" s="224"/>
      <c r="K58" s="230"/>
      <c r="L58" s="232"/>
      <c r="M58" s="236"/>
      <c r="N58" s="234"/>
      <c r="O58" s="226"/>
      <c r="P58" s="210"/>
      <c r="Q58" s="212"/>
      <c r="R58" s="210" t="e">
        <f>IF(OR(#REF!=datos!$AB$10,#REF!=datos!$AB$16),"",VLOOKUP(#REF!,datos!$AA$10:$AC$21,3,0))</f>
        <v>#REF!</v>
      </c>
      <c r="S58" s="208"/>
      <c r="T58" s="96">
        <v>3</v>
      </c>
      <c r="U58" s="79" t="s">
        <v>711</v>
      </c>
      <c r="V58" s="78" t="s">
        <v>712</v>
      </c>
      <c r="W58" s="78" t="s">
        <v>706</v>
      </c>
      <c r="X58" s="78" t="s">
        <v>713</v>
      </c>
      <c r="Y58" s="78" t="s">
        <v>714</v>
      </c>
      <c r="Z58" s="78" t="s">
        <v>715</v>
      </c>
      <c r="AA58" s="78" t="s">
        <v>716</v>
      </c>
      <c r="AB58" s="78" t="s">
        <v>703</v>
      </c>
      <c r="AC58" s="78" t="s">
        <v>704</v>
      </c>
      <c r="AD58" s="91" t="str">
        <f>IF(AE58="","",VLOOKUP(AE58,datos!$AT$6:$AU$9,2,0))</f>
        <v>Probabilidad</v>
      </c>
      <c r="AE58" s="79" t="s">
        <v>80</v>
      </c>
      <c r="AF58" s="79" t="s">
        <v>84</v>
      </c>
      <c r="AG58" s="87">
        <f>IF(AND(AE58="",AF58=""),"",IF(AE58="",0,VLOOKUP(AE58,datos!$AP$3:$AR$7,3,0))+IF(AF58="",0,VLOOKUP(AF58,datos!$AP$3:$AR$7,3,0)))</f>
        <v>0.4</v>
      </c>
      <c r="AH58" s="110" t="str">
        <f>IF(OR(AI58="",AI58=0),"",IF(AI58&lt;=datos!$AC$3,datos!$AE$3,IF(AI58&lt;=datos!$AC$4,datos!$AE$4,IF(AI58&lt;=datos!$AC$5,datos!$AE$5,IF(AI58&lt;=datos!$AC$6,datos!$AE$6,IF(AI58&lt;=datos!$AC$7,datos!$AE$7,""))))))</f>
        <v>Muy Baja</v>
      </c>
      <c r="AI58" s="111">
        <f t="shared" si="5"/>
        <v>0.08639999999999999</v>
      </c>
      <c r="AJ58" s="112" t="str">
        <f>+IF(AK58&lt;=datos!$AD$11,datos!$AC$11,IF(AK58&lt;=datos!$AD$12,datos!$AC$12,IF(AK58&lt;=datos!$AD$13,datos!$AC$13,IF(AK58&lt;=datos!$AD$14,datos!$AC$14,IF(AK58&lt;=datos!$AD$15,datos!$AC$15,"")))))</f>
        <v>Mayor</v>
      </c>
      <c r="AK58" s="111">
        <f t="shared" si="6"/>
        <v>0.8</v>
      </c>
      <c r="AL58" s="112" t="str">
        <f ca="1" t="shared" si="4"/>
        <v>Alto</v>
      </c>
      <c r="AM58" s="255"/>
      <c r="AN58" s="198"/>
      <c r="AO58" s="200"/>
      <c r="AP58" s="187"/>
    </row>
    <row r="59" spans="1:42" ht="132">
      <c r="A59" s="222"/>
      <c r="B59" s="224"/>
      <c r="C59" s="224"/>
      <c r="D59" s="228"/>
      <c r="E59" s="224"/>
      <c r="F59" s="224"/>
      <c r="G59" s="224"/>
      <c r="H59" s="224"/>
      <c r="I59" s="224"/>
      <c r="J59" s="224"/>
      <c r="K59" s="230"/>
      <c r="L59" s="232"/>
      <c r="M59" s="236"/>
      <c r="N59" s="234"/>
      <c r="O59" s="226"/>
      <c r="P59" s="210"/>
      <c r="Q59" s="212"/>
      <c r="R59" s="210" t="e">
        <f>IF(OR(#REF!=datos!$AB$10,#REF!=datos!$AB$16),"",VLOOKUP(#REF!,datos!$AA$10:$AC$21,3,0))</f>
        <v>#REF!</v>
      </c>
      <c r="S59" s="208"/>
      <c r="T59" s="96">
        <v>4</v>
      </c>
      <c r="U59" s="79" t="s">
        <v>717</v>
      </c>
      <c r="V59" s="78" t="s">
        <v>697</v>
      </c>
      <c r="W59" s="78" t="s">
        <v>706</v>
      </c>
      <c r="X59" s="78" t="s">
        <v>718</v>
      </c>
      <c r="Y59" s="78" t="s">
        <v>719</v>
      </c>
      <c r="Z59" s="78" t="s">
        <v>720</v>
      </c>
      <c r="AA59" s="78" t="s">
        <v>721</v>
      </c>
      <c r="AB59" s="78" t="s">
        <v>703</v>
      </c>
      <c r="AC59" s="78" t="s">
        <v>704</v>
      </c>
      <c r="AD59" s="91" t="str">
        <f>IF(AE59="","",VLOOKUP(AE59,datos!$AT$6:$AU$9,2,0))</f>
        <v>Probabilidad</v>
      </c>
      <c r="AE59" s="79" t="s">
        <v>80</v>
      </c>
      <c r="AF59" s="79" t="s">
        <v>84</v>
      </c>
      <c r="AG59" s="87">
        <f>IF(AND(AE59="",AF59=""),"",IF(AE59="",0,VLOOKUP(AE59,datos!$AP$3:$AR$7,3,0))+IF(AF59="",0,VLOOKUP(AF59,datos!$AP$3:$AR$7,3,0)))</f>
        <v>0.4</v>
      </c>
      <c r="AH59" s="110" t="str">
        <f>IF(OR(AI59="",AI59=0),"",IF(AI59&lt;=datos!$AC$3,datos!$AE$3,IF(AI59&lt;=datos!$AC$4,datos!$AE$4,IF(AI59&lt;=datos!$AC$5,datos!$AE$5,IF(AI59&lt;=datos!$AC$6,datos!$AE$6,IF(AI59&lt;=datos!$AC$7,datos!$AE$7,""))))))</f>
        <v>Muy Baja</v>
      </c>
      <c r="AI59" s="111">
        <f t="shared" si="5"/>
        <v>0.05183999999999999</v>
      </c>
      <c r="AJ59" s="112" t="str">
        <f>+IF(AK59&lt;=datos!$AD$11,datos!$AC$11,IF(AK59&lt;=datos!$AD$12,datos!$AC$12,IF(AK59&lt;=datos!$AD$13,datos!$AC$13,IF(AK59&lt;=datos!$AD$14,datos!$AC$14,IF(AK59&lt;=datos!$AD$15,datos!$AC$15,"")))))</f>
        <v>Mayor</v>
      </c>
      <c r="AK59" s="111">
        <f t="shared" si="6"/>
        <v>0.8</v>
      </c>
      <c r="AL59" s="112" t="str">
        <f ca="1" t="shared" si="4"/>
        <v>Alto</v>
      </c>
      <c r="AM59" s="255"/>
      <c r="AN59" s="198"/>
      <c r="AO59" s="200"/>
      <c r="AP59" s="187"/>
    </row>
    <row r="60" spans="1:42" ht="132.75" thickBot="1">
      <c r="A60" s="265"/>
      <c r="B60" s="261"/>
      <c r="C60" s="261"/>
      <c r="D60" s="266"/>
      <c r="E60" s="261"/>
      <c r="F60" s="261"/>
      <c r="G60" s="261"/>
      <c r="H60" s="261"/>
      <c r="I60" s="261"/>
      <c r="J60" s="261"/>
      <c r="K60" s="270"/>
      <c r="L60" s="271"/>
      <c r="M60" s="272"/>
      <c r="N60" s="273"/>
      <c r="O60" s="274"/>
      <c r="P60" s="262"/>
      <c r="Q60" s="275"/>
      <c r="R60" s="262" t="e">
        <f>IF(OR(#REF!=datos!$AB$10,#REF!=datos!$AB$16),"",VLOOKUP(#REF!,datos!$AA$10:$AC$21,3,0))</f>
        <v>#REF!</v>
      </c>
      <c r="S60" s="267"/>
      <c r="T60" s="98">
        <v>5</v>
      </c>
      <c r="U60" s="85" t="s">
        <v>722</v>
      </c>
      <c r="V60" s="84" t="s">
        <v>697</v>
      </c>
      <c r="W60" s="84" t="s">
        <v>698</v>
      </c>
      <c r="X60" s="84" t="s">
        <v>728</v>
      </c>
      <c r="Y60" s="84" t="s">
        <v>724</v>
      </c>
      <c r="Z60" s="84" t="s">
        <v>725</v>
      </c>
      <c r="AA60" s="84" t="s">
        <v>726</v>
      </c>
      <c r="AB60" s="84" t="s">
        <v>703</v>
      </c>
      <c r="AC60" s="84" t="s">
        <v>704</v>
      </c>
      <c r="AD60" s="93" t="str">
        <f>IF(AE60="","",VLOOKUP(AE60,datos!$AT$6:$AU$9,2,0))</f>
        <v>Probabilidad</v>
      </c>
      <c r="AE60" s="85" t="s">
        <v>80</v>
      </c>
      <c r="AF60" s="85" t="s">
        <v>84</v>
      </c>
      <c r="AG60" s="88">
        <f>IF(AND(AE60="",AF60=""),"",IF(AE60="",0,VLOOKUP(AE60,datos!$AP$3:$AR$7,3,0))+IF(AF60="",0,VLOOKUP(AF60,datos!$AP$3:$AR$7,3,0)))</f>
        <v>0.4</v>
      </c>
      <c r="AH60" s="113" t="str">
        <f>IF(OR(AI60="",AI60=0),"",IF(AI60&lt;=datos!$AC$3,datos!$AE$3,IF(AI60&lt;=datos!$AC$4,datos!$AE$4,IF(AI60&lt;=datos!$AC$5,datos!$AE$5,IF(AI60&lt;=datos!$AC$6,datos!$AE$6,IF(AI60&lt;=datos!$AC$7,datos!$AE$7,""))))))</f>
        <v>Muy Baja</v>
      </c>
      <c r="AI60" s="114">
        <f t="shared" si="5"/>
        <v>0.031103999999999993</v>
      </c>
      <c r="AJ60" s="115" t="str">
        <f>+IF(AK60&lt;=datos!$AD$11,datos!$AC$11,IF(AK60&lt;=datos!$AD$12,datos!$AC$12,IF(AK60&lt;=datos!$AD$13,datos!$AC$13,IF(AK60&lt;=datos!$AD$14,datos!$AC$14,IF(AK60&lt;=datos!$AD$15,datos!$AC$15,"")))))</f>
        <v>Mayor</v>
      </c>
      <c r="AK60" s="114">
        <f t="shared" si="6"/>
        <v>0.8</v>
      </c>
      <c r="AL60" s="115" t="str">
        <f ca="1" t="shared" si="4"/>
        <v>Alto</v>
      </c>
      <c r="AM60" s="268"/>
      <c r="AN60" s="269"/>
      <c r="AO60" s="263"/>
      <c r="AP60" s="264"/>
    </row>
    <row r="61" spans="1:42" ht="180">
      <c r="A61" s="221">
        <v>24</v>
      </c>
      <c r="B61" s="223" t="s">
        <v>44</v>
      </c>
      <c r="C61" s="223" t="s">
        <v>247</v>
      </c>
      <c r="D61" s="227" t="str">
        <f>_xlfn.IFERROR(VLOOKUP(B61,datos!$B$1:$C$21,2,0),"")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61" s="223" t="s">
        <v>55</v>
      </c>
      <c r="F61" s="223" t="s">
        <v>731</v>
      </c>
      <c r="G61" s="223" t="s">
        <v>732</v>
      </c>
      <c r="H61" s="223" t="s">
        <v>233</v>
      </c>
      <c r="I61" s="223" t="s">
        <v>286</v>
      </c>
      <c r="J61" s="223" t="s">
        <v>733</v>
      </c>
      <c r="K61" s="229" t="s">
        <v>184</v>
      </c>
      <c r="L61" s="231" t="s">
        <v>57</v>
      </c>
      <c r="M61" s="235" t="s">
        <v>274</v>
      </c>
      <c r="N61" s="233">
        <v>100</v>
      </c>
      <c r="O61" s="225" t="str">
        <f>_xlfn.IFERROR(VLOOKUP(P61,datos!$AC$2:$AE$7,3,0),"")</f>
        <v>Media</v>
      </c>
      <c r="P61" s="209">
        <f>+IF(OR(N61="",N61=0),"",IF(N61&lt;=datos!$AD$3,datos!$AC$3,IF(AND(N61&gt;datos!$AD$3,N61&lt;=datos!$AD$4),datos!$AC$4,IF(AND(N61&gt;datos!$AD$4,N61&lt;=datos!$AD$5),datos!$AC$5,IF(AND(N61&gt;datos!$AD$5,N61&lt;=datos!$AD$6),datos!$AC$6,IF(N61&gt;datos!$AD$7,datos!$AC$7,0))))))</f>
        <v>0.6</v>
      </c>
      <c r="Q61" s="211" t="str">
        <f>+HLOOKUP(A61,'Impacto Riesgo de Corrupción'!$D$8:$AQ$29,22,0)</f>
        <v>Mayor</v>
      </c>
      <c r="R61" s="209">
        <f>+IF(Q61="","",VLOOKUP(Q61,datos!$AC$12:$AD$15,2,0))</f>
        <v>0.8</v>
      </c>
      <c r="S61" s="207" t="str">
        <f ca="1">_xlfn.IFERROR(INDIRECT("datos!"&amp;HLOOKUP(Q61,calculo_imp,2,FALSE)&amp;VLOOKUP(O61,calculo_prob,2,FALSE)),"")</f>
        <v>Alto</v>
      </c>
      <c r="T61" s="95">
        <v>1</v>
      </c>
      <c r="U61" s="83" t="s">
        <v>734</v>
      </c>
      <c r="V61" s="82" t="s">
        <v>735</v>
      </c>
      <c r="W61" s="82" t="s">
        <v>736</v>
      </c>
      <c r="X61" s="82" t="s">
        <v>737</v>
      </c>
      <c r="Y61" s="82" t="s">
        <v>738</v>
      </c>
      <c r="Z61" s="82" t="s">
        <v>739</v>
      </c>
      <c r="AA61" s="82" t="s">
        <v>740</v>
      </c>
      <c r="AB61" s="82" t="s">
        <v>741</v>
      </c>
      <c r="AC61" s="82" t="s">
        <v>742</v>
      </c>
      <c r="AD61" s="92" t="str">
        <f>IF(AE61="","",VLOOKUP(AE61,datos!$AT$6:$AU$9,2,0))</f>
        <v>Probabilidad</v>
      </c>
      <c r="AE61" s="83" t="s">
        <v>80</v>
      </c>
      <c r="AF61" s="83" t="s">
        <v>84</v>
      </c>
      <c r="AG61" s="86">
        <f>IF(AND(AE61="",AF61=""),"",IF(AE61="",0,VLOOKUP(AE61,datos!$AP$3:$AR$7,3,0))+IF(AF61="",0,VLOOKUP(AF61,datos!$AP$3:$AR$7,3,0)))</f>
        <v>0.4</v>
      </c>
      <c r="AH61" s="107" t="str">
        <f>IF(OR(AI61="",AI61=0),"",IF(AI61&lt;=datos!$AC$3,datos!$AE$3,IF(AI61&lt;=datos!$AC$4,datos!$AE$4,IF(AI61&lt;=datos!$AC$5,datos!$AE$5,IF(AI61&lt;=datos!$AC$6,datos!$AE$6,IF(AI61&lt;=datos!$AC$7,datos!$AE$7,""))))))</f>
        <v>Baja</v>
      </c>
      <c r="AI61" s="108">
        <f t="shared" si="5"/>
        <v>0.36</v>
      </c>
      <c r="AJ61" s="109" t="str">
        <f>+IF(AK61&lt;=datos!$AD$11,datos!$AC$11,IF(AK61&lt;=datos!$AD$12,datos!$AC$12,IF(AK61&lt;=datos!$AD$13,datos!$AC$13,IF(AK61&lt;=datos!$AD$14,datos!$AC$14,IF(AK61&lt;=datos!$AD$15,datos!$AC$15,"")))))</f>
        <v>Mayor</v>
      </c>
      <c r="AK61" s="108">
        <f t="shared" si="6"/>
        <v>0.8</v>
      </c>
      <c r="AL61" s="109" t="str">
        <f ca="1" t="shared" si="4"/>
        <v>Alto</v>
      </c>
      <c r="AM61" s="254" t="s">
        <v>92</v>
      </c>
      <c r="AN61" s="197" t="s">
        <v>747</v>
      </c>
      <c r="AO61" s="199">
        <v>45657</v>
      </c>
      <c r="AP61" s="186" t="s">
        <v>748</v>
      </c>
    </row>
    <row r="62" spans="1:42" ht="180.75" thickBot="1">
      <c r="A62" s="222"/>
      <c r="B62" s="224"/>
      <c r="C62" s="224"/>
      <c r="D62" s="228"/>
      <c r="E62" s="224"/>
      <c r="F62" s="224"/>
      <c r="G62" s="224"/>
      <c r="H62" s="224"/>
      <c r="I62" s="224"/>
      <c r="J62" s="224"/>
      <c r="K62" s="230"/>
      <c r="L62" s="232"/>
      <c r="M62" s="236"/>
      <c r="N62" s="234"/>
      <c r="O62" s="226"/>
      <c r="P62" s="210"/>
      <c r="Q62" s="212"/>
      <c r="R62" s="210" t="e">
        <f>IF(OR(#REF!=datos!$AB$10,#REF!=datos!$AB$16),"",VLOOKUP(#REF!,datos!$AA$10:$AC$21,3,0))</f>
        <v>#REF!</v>
      </c>
      <c r="S62" s="208"/>
      <c r="T62" s="96">
        <v>2</v>
      </c>
      <c r="U62" s="79" t="s">
        <v>743</v>
      </c>
      <c r="V62" s="78" t="s">
        <v>744</v>
      </c>
      <c r="W62" s="78" t="s">
        <v>736</v>
      </c>
      <c r="X62" s="78" t="s">
        <v>745</v>
      </c>
      <c r="Y62" s="78" t="s">
        <v>746</v>
      </c>
      <c r="Z62" s="78" t="s">
        <v>739</v>
      </c>
      <c r="AA62" s="78" t="s">
        <v>740</v>
      </c>
      <c r="AB62" s="78" t="s">
        <v>741</v>
      </c>
      <c r="AC62" s="78" t="s">
        <v>742</v>
      </c>
      <c r="AD62" s="91" t="str">
        <f>IF(AE62="","",VLOOKUP(AE62,datos!$AT$6:$AU$9,2,0))</f>
        <v>Probabilidad</v>
      </c>
      <c r="AE62" s="79" t="s">
        <v>80</v>
      </c>
      <c r="AF62" s="79" t="s">
        <v>84</v>
      </c>
      <c r="AG62" s="87">
        <f>IF(AND(AE62="",AF62=""),"",IF(AE62="",0,VLOOKUP(AE62,datos!$AP$3:$AR$7,3,0))+IF(AF62="",0,VLOOKUP(AF62,datos!$AP$3:$AR$7,3,0)))</f>
        <v>0.4</v>
      </c>
      <c r="AH62" s="110" t="str">
        <f>IF(OR(AI62="",AI62=0),"",IF(AI62&lt;=datos!$AC$3,datos!$AE$3,IF(AI62&lt;=datos!$AC$4,datos!$AE$4,IF(AI62&lt;=datos!$AC$5,datos!$AE$5,IF(AI62&lt;=datos!$AC$6,datos!$AE$6,IF(AI62&lt;=datos!$AC$7,datos!$AE$7,""))))))</f>
        <v>Baja</v>
      </c>
      <c r="AI62" s="111">
        <f t="shared" si="5"/>
        <v>0.216</v>
      </c>
      <c r="AJ62" s="112" t="str">
        <f>+IF(AK62&lt;=datos!$AD$11,datos!$AC$11,IF(AK62&lt;=datos!$AD$12,datos!$AC$12,IF(AK62&lt;=datos!$AD$13,datos!$AC$13,IF(AK62&lt;=datos!$AD$14,datos!$AC$14,IF(AK62&lt;=datos!$AD$15,datos!$AC$15,"")))))</f>
        <v>Mayor</v>
      </c>
      <c r="AK62" s="111">
        <f t="shared" si="6"/>
        <v>0.8</v>
      </c>
      <c r="AL62" s="112" t="str">
        <f ca="1" t="shared" si="4"/>
        <v>Alto</v>
      </c>
      <c r="AM62" s="255"/>
      <c r="AN62" s="198"/>
      <c r="AO62" s="200"/>
      <c r="AP62" s="187"/>
    </row>
    <row r="63" spans="1:42" ht="168.75" thickBot="1">
      <c r="A63" s="145">
        <v>25</v>
      </c>
      <c r="B63" s="83" t="s">
        <v>46</v>
      </c>
      <c r="C63" s="83" t="s">
        <v>247</v>
      </c>
      <c r="D63" s="92" t="str">
        <f>_xlfn.IFERROR(VLOOKUP(B63,datos!$B$1:$C$21,2,0),"")</f>
        <v>Establecer y dar lineamientos a las Empresas Administradoras de Planes de Beneficios y su Red de Prestadores de Servicios de Salud, Bancos de Sangre y Bancos de Tejidos, y Centros de Almacenamiento Temporal; mediante la definición de criterios técnicos y operativos de la prestación de servicios de salud para la mejora de los mismos, en el marco de las políticas y lineamientos del orden nacional y distrital.</v>
      </c>
      <c r="E63" s="83" t="s">
        <v>54</v>
      </c>
      <c r="F63" s="83" t="s">
        <v>749</v>
      </c>
      <c r="G63" s="83" t="s">
        <v>750</v>
      </c>
      <c r="H63" s="83" t="s">
        <v>233</v>
      </c>
      <c r="I63" s="83" t="s">
        <v>751</v>
      </c>
      <c r="J63" s="83" t="s">
        <v>752</v>
      </c>
      <c r="K63" s="160" t="s">
        <v>184</v>
      </c>
      <c r="L63" s="148" t="s">
        <v>57</v>
      </c>
      <c r="M63" s="147" t="s">
        <v>274</v>
      </c>
      <c r="N63" s="149">
        <v>12000</v>
      </c>
      <c r="O63" s="109" t="str">
        <f>_xlfn.IFERROR(VLOOKUP(P63,datos!$AC$2:$AE$7,3,0),"")</f>
        <v>Muy Alta</v>
      </c>
      <c r="P63" s="150">
        <f>+IF(OR(N63="",N63=0),"",IF(N63&lt;=datos!$AD$3,datos!$AC$3,IF(AND(N63&gt;datos!$AD$3,N63&lt;=datos!$AD$4),datos!$AC$4,IF(AND(N63&gt;datos!$AD$4,N63&lt;=datos!$AD$5),datos!$AC$5,IF(AND(N63&gt;datos!$AD$5,N63&lt;=datos!$AD$6),datos!$AC$6,IF(N63&gt;datos!$AD$7,datos!$AC$7,0))))))</f>
        <v>1</v>
      </c>
      <c r="Q63" s="159" t="str">
        <f>+HLOOKUP(A63,'Impacto Riesgo de Corrupción'!$D$8:$AQ$29,22,0)</f>
        <v>Catastrófico</v>
      </c>
      <c r="R63" s="150">
        <f>+IF(Q63="","",VLOOKUP(Q63,datos!$AC$12:$AD$15,2,0))</f>
        <v>1</v>
      </c>
      <c r="S63" s="158" t="str">
        <f ca="1">_xlfn.IFERROR(INDIRECT("datos!"&amp;HLOOKUP(Q63,calculo_imp,2,FALSE)&amp;VLOOKUP(O63,calculo_prob,2,FALSE)),"")</f>
        <v>Extremo</v>
      </c>
      <c r="T63" s="95">
        <v>1</v>
      </c>
      <c r="U63" s="83" t="s">
        <v>755</v>
      </c>
      <c r="V63" s="82" t="s">
        <v>756</v>
      </c>
      <c r="W63" s="82" t="s">
        <v>757</v>
      </c>
      <c r="X63" s="82" t="s">
        <v>758</v>
      </c>
      <c r="Y63" s="82" t="s">
        <v>759</v>
      </c>
      <c r="Z63" s="82" t="s">
        <v>760</v>
      </c>
      <c r="AA63" s="82" t="s">
        <v>761</v>
      </c>
      <c r="AB63" s="82" t="s">
        <v>762</v>
      </c>
      <c r="AC63" s="82" t="s">
        <v>763</v>
      </c>
      <c r="AD63" s="92" t="str">
        <f>IF(AE63="","",VLOOKUP(AE63,datos!$AT$6:$AU$9,2,0))</f>
        <v>Probabilidad</v>
      </c>
      <c r="AE63" s="83" t="s">
        <v>81</v>
      </c>
      <c r="AF63" s="83" t="s">
        <v>84</v>
      </c>
      <c r="AG63" s="86">
        <f>IF(AND(AE63="",AF63=""),"",IF(AE63="",0,VLOOKUP(AE63,datos!$AP$3:$AR$7,3,0))+IF(AF63="",0,VLOOKUP(AF63,datos!$AP$3:$AR$7,3,0)))</f>
        <v>0.3</v>
      </c>
      <c r="AH63" s="107" t="str">
        <f>IF(OR(AI63="",AI63=0),"",IF(AI63&lt;=datos!$AC$3,datos!$AE$3,IF(AI63&lt;=datos!$AC$4,datos!$AE$4,IF(AI63&lt;=datos!$AC$5,datos!$AE$5,IF(AI63&lt;=datos!$AC$6,datos!$AE$6,IF(AI63&lt;=datos!$AC$7,datos!$AE$7,""))))))</f>
        <v>Alta</v>
      </c>
      <c r="AI63" s="108">
        <f>IF(AD63="","",IF(T63=1,IF(AD63="Probabilidad",P63-(P63*AG63),P63),IF(AD63="Probabilidad",#REF!-(#REF!*AG63),#REF!)))</f>
        <v>0.7</v>
      </c>
      <c r="AJ63" s="109" t="str">
        <f>+IF(AK63&lt;=datos!$AD$11,datos!$AC$11,IF(AK63&lt;=datos!$AD$12,datos!$AC$12,IF(AK63&lt;=datos!$AD$13,datos!$AC$13,IF(AK63&lt;=datos!$AD$14,datos!$AC$14,IF(AK63&lt;=datos!$AD$15,datos!$AC$15,"")))))</f>
        <v>Catastrófico</v>
      </c>
      <c r="AK63" s="108">
        <f>IF(AD63="","",IF(T63=1,IF(AD63="Impacto",R63-(R63*AG63),R63),IF(AD63="Impacto",#REF!-(#REF!*AG63),#REF!)))</f>
        <v>1</v>
      </c>
      <c r="AL63" s="109" t="str">
        <f aca="true" ca="1" t="shared" si="7" ref="AL63:AL73">_xlfn.IFERROR(INDIRECT("datos!"&amp;HLOOKUP(AJ63,calculo_imp,2,FALSE)&amp;VLOOKUP(AH63,calculo_prob,2,FALSE)),"")</f>
        <v>Extremo</v>
      </c>
      <c r="AM63" s="152" t="s">
        <v>92</v>
      </c>
      <c r="AN63" s="140" t="s">
        <v>771</v>
      </c>
      <c r="AO63" s="142">
        <v>45657</v>
      </c>
      <c r="AP63" s="156" t="s">
        <v>772</v>
      </c>
    </row>
    <row r="64" spans="1:42" ht="216.75" thickBot="1">
      <c r="A64" s="145">
        <v>26</v>
      </c>
      <c r="B64" s="83" t="s">
        <v>46</v>
      </c>
      <c r="C64" s="83" t="s">
        <v>247</v>
      </c>
      <c r="D64" s="92" t="str">
        <f>_xlfn.IFERROR(VLOOKUP(B64,datos!$B$1:$C$21,2,0),"")</f>
        <v>Establecer y dar lineamientos a las Empresas Administradoras de Planes de Beneficios y su Red de Prestadores de Servicios de Salud, Bancos de Sangre y Bancos de Tejidos, y Centros de Almacenamiento Temporal; mediante la definición de criterios técnicos y operativos de la prestación de servicios de salud para la mejora de los mismos, en el marco de las políticas y lineamientos del orden nacional y distrital.</v>
      </c>
      <c r="E64" s="83" t="s">
        <v>54</v>
      </c>
      <c r="F64" s="83" t="s">
        <v>753</v>
      </c>
      <c r="G64" s="83" t="s">
        <v>750</v>
      </c>
      <c r="H64" s="83" t="s">
        <v>233</v>
      </c>
      <c r="I64" s="83" t="s">
        <v>751</v>
      </c>
      <c r="J64" s="83" t="s">
        <v>754</v>
      </c>
      <c r="K64" s="160" t="s">
        <v>184</v>
      </c>
      <c r="L64" s="148" t="s">
        <v>57</v>
      </c>
      <c r="M64" s="147" t="s">
        <v>274</v>
      </c>
      <c r="N64" s="149">
        <v>12000</v>
      </c>
      <c r="O64" s="109" t="str">
        <f>_xlfn.IFERROR(VLOOKUP(P64,datos!$AC$2:$AE$7,3,0),"")</f>
        <v>Muy Alta</v>
      </c>
      <c r="P64" s="150">
        <f>+IF(OR(N64="",N64=0),"",IF(N64&lt;=datos!$AD$3,datos!$AC$3,IF(AND(N64&gt;datos!$AD$3,N64&lt;=datos!$AD$4),datos!$AC$4,IF(AND(N64&gt;datos!$AD$4,N64&lt;=datos!$AD$5),datos!$AC$5,IF(AND(N64&gt;datos!$AD$5,N64&lt;=datos!$AD$6),datos!$AC$6,IF(N64&gt;datos!$AD$7,datos!$AC$7,0))))))</f>
        <v>1</v>
      </c>
      <c r="Q64" s="159" t="str">
        <f>+HLOOKUP(A64,'Impacto Riesgo de Corrupción'!$D$8:$AQ$29,22,0)</f>
        <v>Catastrófico</v>
      </c>
      <c r="R64" s="150">
        <f>+IF(Q64="","",VLOOKUP(Q64,datos!$AC$12:$AD$15,2,0))</f>
        <v>1</v>
      </c>
      <c r="S64" s="158" t="str">
        <f ca="1">_xlfn.IFERROR(INDIRECT("datos!"&amp;HLOOKUP(Q64,calculo_imp,2,FALSE)&amp;VLOOKUP(O64,calculo_prob,2,FALSE)),"")</f>
        <v>Extremo</v>
      </c>
      <c r="T64" s="95">
        <v>1</v>
      </c>
      <c r="U64" s="83" t="s">
        <v>764</v>
      </c>
      <c r="V64" s="82" t="s">
        <v>765</v>
      </c>
      <c r="W64" s="82" t="s">
        <v>766</v>
      </c>
      <c r="X64" s="82" t="s">
        <v>767</v>
      </c>
      <c r="Y64" s="82" t="s">
        <v>768</v>
      </c>
      <c r="Z64" s="82" t="s">
        <v>769</v>
      </c>
      <c r="AA64" s="82" t="s">
        <v>770</v>
      </c>
      <c r="AB64" s="82" t="s">
        <v>336</v>
      </c>
      <c r="AC64" s="82" t="s">
        <v>763</v>
      </c>
      <c r="AD64" s="92" t="str">
        <f>IF(AE64="","",VLOOKUP(AE64,datos!$AT$6:$AU$9,2,0))</f>
        <v>Probabilidad</v>
      </c>
      <c r="AE64" s="83" t="s">
        <v>80</v>
      </c>
      <c r="AF64" s="83" t="s">
        <v>84</v>
      </c>
      <c r="AG64" s="86">
        <f>IF(AND(AE64="",AF64=""),"",IF(AE64="",0,VLOOKUP(AE64,datos!$AP$3:$AR$7,3,0))+IF(AF64="",0,VLOOKUP(AF64,datos!$AP$3:$AR$7,3,0)))</f>
        <v>0.4</v>
      </c>
      <c r="AH64" s="107" t="str">
        <f>IF(OR(AI64="",AI64=0),"",IF(AI64&lt;=datos!$AC$3,datos!$AE$3,IF(AI64&lt;=datos!$AC$4,datos!$AE$4,IF(AI64&lt;=datos!$AC$5,datos!$AE$5,IF(AI64&lt;=datos!$AC$6,datos!$AE$6,IF(AI64&lt;=datos!$AC$7,datos!$AE$7,""))))))</f>
        <v>Media</v>
      </c>
      <c r="AI64" s="108">
        <f>IF(AD64="","",IF(T64=1,IF(AD64="Probabilidad",P64-(P64*AG64),P64),IF(AD64="Probabilidad",#REF!-(#REF!*AG64),#REF!)))</f>
        <v>0.6</v>
      </c>
      <c r="AJ64" s="109" t="str">
        <f>+IF(AK64&lt;=datos!$AD$11,datos!$AC$11,IF(AK64&lt;=datos!$AD$12,datos!$AC$12,IF(AK64&lt;=datos!$AD$13,datos!$AC$13,IF(AK64&lt;=datos!$AD$14,datos!$AC$14,IF(AK64&lt;=datos!$AD$15,datos!$AC$15,"")))))</f>
        <v>Catastrófico</v>
      </c>
      <c r="AK64" s="108">
        <f>IF(AD64="","",IF(T64=1,IF(AD64="Impacto",R64-(R64*AG64),R64),IF(AD64="Impacto",#REF!-(#REF!*AG64),#REF!)))</f>
        <v>1</v>
      </c>
      <c r="AL64" s="109" t="str">
        <f ca="1" t="shared" si="7"/>
        <v>Extremo</v>
      </c>
      <c r="AM64" s="152" t="s">
        <v>92</v>
      </c>
      <c r="AN64" s="140" t="s">
        <v>773</v>
      </c>
      <c r="AO64" s="142">
        <v>45657</v>
      </c>
      <c r="AP64" s="156" t="s">
        <v>772</v>
      </c>
    </row>
    <row r="65" spans="1:42" ht="72">
      <c r="A65" s="221">
        <v>27</v>
      </c>
      <c r="B65" s="223" t="s">
        <v>37</v>
      </c>
      <c r="C65" s="223" t="s">
        <v>774</v>
      </c>
      <c r="D65" s="227" t="str">
        <f>_xlfn.IFERROR(VLOOKUP(B65,datos!$B$1:$C$21,2,0),"")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5" s="223" t="s">
        <v>55</v>
      </c>
      <c r="F65" s="223" t="s">
        <v>775</v>
      </c>
      <c r="G65" s="223" t="s">
        <v>776</v>
      </c>
      <c r="H65" s="223" t="s">
        <v>233</v>
      </c>
      <c r="I65" s="223" t="s">
        <v>286</v>
      </c>
      <c r="J65" s="223" t="s">
        <v>777</v>
      </c>
      <c r="K65" s="229" t="s">
        <v>184</v>
      </c>
      <c r="L65" s="231" t="s">
        <v>57</v>
      </c>
      <c r="M65" s="235" t="s">
        <v>12</v>
      </c>
      <c r="N65" s="233">
        <v>172</v>
      </c>
      <c r="O65" s="225" t="str">
        <f>_xlfn.IFERROR(VLOOKUP(P65,datos!$AC$2:$AE$7,3,0),"")</f>
        <v>Media</v>
      </c>
      <c r="P65" s="209">
        <f>+IF(OR(N65="",N65=0),"",IF(N65&lt;=datos!$AD$3,datos!$AC$3,IF(AND(N65&gt;datos!$AD$3,N65&lt;=datos!$AD$4),datos!$AC$4,IF(AND(N65&gt;datos!$AD$4,N65&lt;=datos!$AD$5),datos!$AC$5,IF(AND(N65&gt;datos!$AD$5,N65&lt;=datos!$AD$6),datos!$AC$6,IF(N65&gt;datos!$AD$7,datos!$AC$7,0))))))</f>
        <v>0.6</v>
      </c>
      <c r="Q65" s="211" t="str">
        <f>+HLOOKUP(A65,'Impacto Riesgo de Corrupción'!$D$8:$AQ$29,22,0)</f>
        <v>Mayor</v>
      </c>
      <c r="R65" s="209">
        <f>+IF(Q65="","",VLOOKUP(Q65,datos!$AC$12:$AD$15,2,0))</f>
        <v>0.8</v>
      </c>
      <c r="S65" s="207" t="str">
        <f ca="1">_xlfn.IFERROR(INDIRECT("datos!"&amp;HLOOKUP(Q65,calculo_imp,2,FALSE)&amp;VLOOKUP(O65,calculo_prob,2,FALSE)),"")</f>
        <v>Alto</v>
      </c>
      <c r="T65" s="95">
        <v>1</v>
      </c>
      <c r="U65" s="83" t="s">
        <v>793</v>
      </c>
      <c r="V65" s="82" t="s">
        <v>794</v>
      </c>
      <c r="W65" s="82" t="s">
        <v>795</v>
      </c>
      <c r="X65" s="82" t="s">
        <v>796</v>
      </c>
      <c r="Y65" s="82" t="s">
        <v>797</v>
      </c>
      <c r="Z65" s="82" t="s">
        <v>798</v>
      </c>
      <c r="AA65" s="82" t="s">
        <v>799</v>
      </c>
      <c r="AB65" s="82" t="s">
        <v>800</v>
      </c>
      <c r="AC65" s="82" t="s">
        <v>742</v>
      </c>
      <c r="AD65" s="92" t="str">
        <f>IF(AE65="","",VLOOKUP(AE65,datos!$AT$6:$AU$9,2,0))</f>
        <v>Probabilidad</v>
      </c>
      <c r="AE65" s="83" t="s">
        <v>81</v>
      </c>
      <c r="AF65" s="83" t="s">
        <v>84</v>
      </c>
      <c r="AG65" s="86">
        <f>IF(AND(AE65="",AF65=""),"",IF(AE65="",0,VLOOKUP(AE65,datos!$AP$3:$AR$7,3,0))+IF(AF65="",0,VLOOKUP(AF65,datos!$AP$3:$AR$7,3,0)))</f>
        <v>0.3</v>
      </c>
      <c r="AH65" s="107" t="str">
        <f>IF(OR(AI65="",AI65=0),"",IF(AI65&lt;=datos!$AC$3,datos!$AE$3,IF(AI65&lt;=datos!$AC$4,datos!$AE$4,IF(AI65&lt;=datos!$AC$5,datos!$AE$5,IF(AI65&lt;=datos!$AC$6,datos!$AE$6,IF(AI65&lt;=datos!$AC$7,datos!$AE$7,""))))))</f>
        <v>Media</v>
      </c>
      <c r="AI65" s="108">
        <f>IF(AD65="","",IF(T65=1,IF(AD65="Probabilidad",P65-(P65*AG65),P65),IF(AD65="Probabilidad",#REF!-(#REF!*AG65),#REF!)))</f>
        <v>0.42</v>
      </c>
      <c r="AJ65" s="109" t="str">
        <f>+IF(AK65&lt;=datos!$AD$11,datos!$AC$11,IF(AK65&lt;=datos!$AD$12,datos!$AC$12,IF(AK65&lt;=datos!$AD$13,datos!$AC$13,IF(AK65&lt;=datos!$AD$14,datos!$AC$14,IF(AK65&lt;=datos!$AD$15,datos!$AC$15,"")))))</f>
        <v>Mayor</v>
      </c>
      <c r="AK65" s="108">
        <f>IF(AD65="","",IF(T65=1,IF(AD65="Impacto",R65-(R65*AG65),R65),IF(AD65="Impacto",#REF!-(#REF!*AG65),#REF!)))</f>
        <v>0.8</v>
      </c>
      <c r="AL65" s="109" t="str">
        <f ca="1" t="shared" si="7"/>
        <v>Alto</v>
      </c>
      <c r="AM65" s="254" t="s">
        <v>92</v>
      </c>
      <c r="AN65" s="197" t="s">
        <v>848</v>
      </c>
      <c r="AO65" s="199">
        <v>45322</v>
      </c>
      <c r="AP65" s="186" t="s">
        <v>849</v>
      </c>
    </row>
    <row r="66" spans="1:42" ht="84.75" thickBot="1">
      <c r="A66" s="222"/>
      <c r="B66" s="224"/>
      <c r="C66" s="224"/>
      <c r="D66" s="228"/>
      <c r="E66" s="224"/>
      <c r="F66" s="224"/>
      <c r="G66" s="224"/>
      <c r="H66" s="224"/>
      <c r="I66" s="224"/>
      <c r="J66" s="224"/>
      <c r="K66" s="230"/>
      <c r="L66" s="232"/>
      <c r="M66" s="236"/>
      <c r="N66" s="234"/>
      <c r="O66" s="226"/>
      <c r="P66" s="210"/>
      <c r="Q66" s="212"/>
      <c r="R66" s="210" t="e">
        <f>IF(OR(#REF!=datos!$AB$10,#REF!=datos!$AB$16),"",VLOOKUP(#REF!,datos!$AA$10:$AC$21,3,0))</f>
        <v>#REF!</v>
      </c>
      <c r="S66" s="208"/>
      <c r="T66" s="96">
        <v>2</v>
      </c>
      <c r="U66" s="79" t="s">
        <v>801</v>
      </c>
      <c r="V66" s="78" t="s">
        <v>802</v>
      </c>
      <c r="W66" s="78" t="s">
        <v>803</v>
      </c>
      <c r="X66" s="78" t="s">
        <v>804</v>
      </c>
      <c r="Y66" s="78" t="s">
        <v>805</v>
      </c>
      <c r="Z66" s="78" t="s">
        <v>806</v>
      </c>
      <c r="AA66" s="78" t="s">
        <v>807</v>
      </c>
      <c r="AB66" s="78" t="s">
        <v>808</v>
      </c>
      <c r="AC66" s="78" t="s">
        <v>742</v>
      </c>
      <c r="AD66" s="91" t="str">
        <f>IF(AE66="","",VLOOKUP(AE66,datos!$AT$6:$AU$9,2,0))</f>
        <v>Probabilidad</v>
      </c>
      <c r="AE66" s="79" t="s">
        <v>81</v>
      </c>
      <c r="AF66" s="79" t="s">
        <v>84</v>
      </c>
      <c r="AG66" s="87">
        <f>IF(AND(AE66="",AF66=""),"",IF(AE66="",0,VLOOKUP(AE66,datos!$AP$3:$AR$7,3,0))+IF(AF66="",0,VLOOKUP(AF66,datos!$AP$3:$AR$7,3,0)))</f>
        <v>0.3</v>
      </c>
      <c r="AH66" s="110" t="str">
        <f>IF(OR(AI66="",AI66=0),"",IF(AI66&lt;=datos!$AC$3,datos!$AE$3,IF(AI66&lt;=datos!$AC$4,datos!$AE$4,IF(AI66&lt;=datos!$AC$5,datos!$AE$5,IF(AI66&lt;=datos!$AC$6,datos!$AE$6,IF(AI66&lt;=datos!$AC$7,datos!$AE$7,""))))))</f>
        <v>Baja</v>
      </c>
      <c r="AI66" s="111">
        <f>IF(AD66="","",IF(T66=1,IF(AD66="Probabilidad",P66-(P66*AG66),P66),IF(AD66="Probabilidad",AI65-(AI65*AG66),AI65)))</f>
        <v>0.294</v>
      </c>
      <c r="AJ66" s="112" t="str">
        <f>+IF(AK66&lt;=datos!$AD$11,datos!$AC$11,IF(AK66&lt;=datos!$AD$12,datos!$AC$12,IF(AK66&lt;=datos!$AD$13,datos!$AC$13,IF(AK66&lt;=datos!$AD$14,datos!$AC$14,IF(AK66&lt;=datos!$AD$15,datos!$AC$15,"")))))</f>
        <v>Mayor</v>
      </c>
      <c r="AK66" s="111">
        <f>IF(AD66="","",IF(T66=1,IF(AD66="Impacto",R66-(R66*AG66),R66),IF(AD66="Impacto",AK65-(AK65*AG66),AK65)))</f>
        <v>0.8</v>
      </c>
      <c r="AL66" s="112" t="str">
        <f ca="1" t="shared" si="7"/>
        <v>Alto</v>
      </c>
      <c r="AM66" s="255"/>
      <c r="AN66" s="198"/>
      <c r="AO66" s="200"/>
      <c r="AP66" s="187"/>
    </row>
    <row r="67" spans="1:42" ht="240.75" thickBot="1">
      <c r="A67" s="145">
        <v>28</v>
      </c>
      <c r="B67" s="83" t="s">
        <v>37</v>
      </c>
      <c r="C67" s="83" t="s">
        <v>774</v>
      </c>
      <c r="D67" s="92" t="str">
        <f>_xlfn.IFERROR(VLOOKUP(B67,datos!$B$1:$C$21,2,0),"")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7" s="83" t="s">
        <v>55</v>
      </c>
      <c r="F67" s="83" t="s">
        <v>778</v>
      </c>
      <c r="G67" s="83" t="s">
        <v>779</v>
      </c>
      <c r="H67" s="83" t="s">
        <v>233</v>
      </c>
      <c r="I67" s="83" t="s">
        <v>286</v>
      </c>
      <c r="J67" s="83" t="s">
        <v>780</v>
      </c>
      <c r="K67" s="160" t="s">
        <v>184</v>
      </c>
      <c r="L67" s="148" t="s">
        <v>57</v>
      </c>
      <c r="M67" s="147" t="s">
        <v>12</v>
      </c>
      <c r="N67" s="149">
        <v>61</v>
      </c>
      <c r="O67" s="109" t="str">
        <f>_xlfn.IFERROR(VLOOKUP(P67,datos!$AC$2:$AE$7,3,0),"")</f>
        <v>Media</v>
      </c>
      <c r="P67" s="150">
        <f>+IF(OR(N67="",N67=0),"",IF(N67&lt;=datos!$AD$3,datos!$AC$3,IF(AND(N67&gt;datos!$AD$3,N67&lt;=datos!$AD$4),datos!$AC$4,IF(AND(N67&gt;datos!$AD$4,N67&lt;=datos!$AD$5),datos!$AC$5,IF(AND(N67&gt;datos!$AD$5,N67&lt;=datos!$AD$6),datos!$AC$6,IF(N67&gt;datos!$AD$7,datos!$AC$7,0))))))</f>
        <v>0.6</v>
      </c>
      <c r="Q67" s="159" t="str">
        <f>+HLOOKUP(A67,'Impacto Riesgo de Corrupción'!$D$8:$AQ$29,22,0)</f>
        <v>Mayor</v>
      </c>
      <c r="R67" s="150">
        <f>+IF(Q67="","",VLOOKUP(Q67,datos!$AC$12:$AD$15,2,0))</f>
        <v>0.8</v>
      </c>
      <c r="S67" s="158" t="str">
        <f aca="true" ca="1" t="shared" si="8" ref="S67:S72">_xlfn.IFERROR(INDIRECT("datos!"&amp;HLOOKUP(Q67,calculo_imp,2,FALSE)&amp;VLOOKUP(O67,calculo_prob,2,FALSE)),"")</f>
        <v>Alto</v>
      </c>
      <c r="T67" s="95">
        <v>1</v>
      </c>
      <c r="U67" s="83" t="s">
        <v>809</v>
      </c>
      <c r="V67" s="82" t="s">
        <v>810</v>
      </c>
      <c r="W67" s="82" t="s">
        <v>706</v>
      </c>
      <c r="X67" s="82" t="s">
        <v>811</v>
      </c>
      <c r="Y67" s="82" t="s">
        <v>812</v>
      </c>
      <c r="Z67" s="82" t="s">
        <v>813</v>
      </c>
      <c r="AA67" s="82" t="s">
        <v>814</v>
      </c>
      <c r="AB67" s="82" t="s">
        <v>815</v>
      </c>
      <c r="AC67" s="82" t="s">
        <v>816</v>
      </c>
      <c r="AD67" s="92" t="str">
        <f>IF(AE67="","",VLOOKUP(AE67,datos!$AT$6:$AU$9,2,0))</f>
        <v>Probabilidad</v>
      </c>
      <c r="AE67" s="83" t="s">
        <v>80</v>
      </c>
      <c r="AF67" s="83" t="s">
        <v>84</v>
      </c>
      <c r="AG67" s="86">
        <f>IF(AND(AE67="",AF67=""),"",IF(AE67="",0,VLOOKUP(AE67,datos!$AP$3:$AR$7,3,0))+IF(AF67="",0,VLOOKUP(AF67,datos!$AP$3:$AR$7,3,0)))</f>
        <v>0.4</v>
      </c>
      <c r="AH67" s="107" t="str">
        <f>IF(OR(AI67="",AI67=0),"",IF(AI67&lt;=datos!$AC$3,datos!$AE$3,IF(AI67&lt;=datos!$AC$4,datos!$AE$4,IF(AI67&lt;=datos!$AC$5,datos!$AE$5,IF(AI67&lt;=datos!$AC$6,datos!$AE$6,IF(AI67&lt;=datos!$AC$7,datos!$AE$7,""))))))</f>
        <v>Baja</v>
      </c>
      <c r="AI67" s="108">
        <f>IF(AD67="","",IF(T67=1,IF(AD67="Probabilidad",P67-(P67*AG67),P67),IF(AD67="Probabilidad",#REF!-(#REF!*AG67),#REF!)))</f>
        <v>0.36</v>
      </c>
      <c r="AJ67" s="109" t="str">
        <f>+IF(AK67&lt;=datos!$AD$11,datos!$AC$11,IF(AK67&lt;=datos!$AD$12,datos!$AC$12,IF(AK67&lt;=datos!$AD$13,datos!$AC$13,IF(AK67&lt;=datos!$AD$14,datos!$AC$14,IF(AK67&lt;=datos!$AD$15,datos!$AC$15,"")))))</f>
        <v>Mayor</v>
      </c>
      <c r="AK67" s="108">
        <f>IF(AD67="","",IF(T67=1,IF(AD67="Impacto",R67-(R67*AG67),R67),IF(AD67="Impacto",#REF!-(#REF!*AG67),#REF!)))</f>
        <v>0.8</v>
      </c>
      <c r="AL67" s="109" t="str">
        <f ca="1" t="shared" si="7"/>
        <v>Alto</v>
      </c>
      <c r="AM67" s="152" t="s">
        <v>92</v>
      </c>
      <c r="AN67" s="140" t="s">
        <v>848</v>
      </c>
      <c r="AO67" s="142">
        <v>45322</v>
      </c>
      <c r="AP67" s="156" t="s">
        <v>850</v>
      </c>
    </row>
    <row r="68" spans="1:42" ht="240.75" thickBot="1">
      <c r="A68" s="145">
        <v>29</v>
      </c>
      <c r="B68" s="83" t="s">
        <v>37</v>
      </c>
      <c r="C68" s="83" t="s">
        <v>774</v>
      </c>
      <c r="D68" s="92" t="str">
        <f>_xlfn.IFERROR(VLOOKUP(B68,datos!$B$1:$C$21,2,0),"")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8" s="83" t="s">
        <v>55</v>
      </c>
      <c r="F68" s="83" t="s">
        <v>781</v>
      </c>
      <c r="G68" s="83" t="s">
        <v>782</v>
      </c>
      <c r="H68" s="83" t="s">
        <v>233</v>
      </c>
      <c r="I68" s="83" t="s">
        <v>286</v>
      </c>
      <c r="J68" s="83" t="s">
        <v>783</v>
      </c>
      <c r="K68" s="160" t="s">
        <v>184</v>
      </c>
      <c r="L68" s="148" t="s">
        <v>57</v>
      </c>
      <c r="M68" s="147" t="s">
        <v>12</v>
      </c>
      <c r="N68" s="149">
        <v>195</v>
      </c>
      <c r="O68" s="109" t="str">
        <f>_xlfn.IFERROR(VLOOKUP(P68,datos!$AC$2:$AE$7,3,0),"")</f>
        <v>Media</v>
      </c>
      <c r="P68" s="150">
        <f>+IF(OR(N68="",N68=0),"",IF(N68&lt;=datos!$AD$3,datos!$AC$3,IF(AND(N68&gt;datos!$AD$3,N68&lt;=datos!$AD$4),datos!$AC$4,IF(AND(N68&gt;datos!$AD$4,N68&lt;=datos!$AD$5),datos!$AC$5,IF(AND(N68&gt;datos!$AD$5,N68&lt;=datos!$AD$6),datos!$AC$6,IF(N68&gt;datos!$AD$7,datos!$AC$7,0))))))</f>
        <v>0.6</v>
      </c>
      <c r="Q68" s="159" t="str">
        <f>+HLOOKUP(A68,'Impacto Riesgo de Corrupción'!$D$8:$AQ$29,22,0)</f>
        <v>Mayor</v>
      </c>
      <c r="R68" s="150">
        <f>+IF(Q68="","",VLOOKUP(Q68,datos!$AC$12:$AD$15,2,0))</f>
        <v>0.8</v>
      </c>
      <c r="S68" s="158" t="str">
        <f ca="1" t="shared" si="8"/>
        <v>Alto</v>
      </c>
      <c r="T68" s="95">
        <v>1</v>
      </c>
      <c r="U68" s="83" t="s">
        <v>817</v>
      </c>
      <c r="V68" s="82" t="s">
        <v>818</v>
      </c>
      <c r="W68" s="82" t="s">
        <v>819</v>
      </c>
      <c r="X68" s="82" t="s">
        <v>820</v>
      </c>
      <c r="Y68" s="82" t="s">
        <v>821</v>
      </c>
      <c r="Z68" s="82" t="s">
        <v>822</v>
      </c>
      <c r="AA68" s="82" t="s">
        <v>823</v>
      </c>
      <c r="AB68" s="82" t="s">
        <v>824</v>
      </c>
      <c r="AC68" s="82" t="s">
        <v>816</v>
      </c>
      <c r="AD68" s="92" t="str">
        <f>IF(AE68="","",VLOOKUP(AE68,datos!$AT$6:$AU$9,2,0))</f>
        <v>Probabilidad</v>
      </c>
      <c r="AE68" s="83" t="s">
        <v>80</v>
      </c>
      <c r="AF68" s="83" t="s">
        <v>84</v>
      </c>
      <c r="AG68" s="86">
        <f>IF(AND(AE68="",AF68=""),"",IF(AE68="",0,VLOOKUP(AE68,datos!$AP$3:$AR$7,3,0))+IF(AF68="",0,VLOOKUP(AF68,datos!$AP$3:$AR$7,3,0)))</f>
        <v>0.4</v>
      </c>
      <c r="AH68" s="107" t="str">
        <f>IF(OR(AI68="",AI68=0),"",IF(AI68&lt;=datos!$AC$3,datos!$AE$3,IF(AI68&lt;=datos!$AC$4,datos!$AE$4,IF(AI68&lt;=datos!$AC$5,datos!$AE$5,IF(AI68&lt;=datos!$AC$6,datos!$AE$6,IF(AI68&lt;=datos!$AC$7,datos!$AE$7,""))))))</f>
        <v>Baja</v>
      </c>
      <c r="AI68" s="108">
        <f>IF(AD68="","",IF(T68=1,IF(AD68="Probabilidad",P68-(P68*AG68),P68),IF(AD68="Probabilidad",#REF!-(#REF!*AG68),#REF!)))</f>
        <v>0.36</v>
      </c>
      <c r="AJ68" s="109" t="str">
        <f>+IF(AK68&lt;=datos!$AD$11,datos!$AC$11,IF(AK68&lt;=datos!$AD$12,datos!$AC$12,IF(AK68&lt;=datos!$AD$13,datos!$AC$13,IF(AK68&lt;=datos!$AD$14,datos!$AC$14,IF(AK68&lt;=datos!$AD$15,datos!$AC$15,"")))))</f>
        <v>Mayor</v>
      </c>
      <c r="AK68" s="108">
        <f>IF(AD68="","",IF(T68=1,IF(AD68="Impacto",R68-(R68*AG68),R68),IF(AD68="Impacto",#REF!-(#REF!*AG68),#REF!)))</f>
        <v>0.8</v>
      </c>
      <c r="AL68" s="109" t="str">
        <f ca="1" t="shared" si="7"/>
        <v>Alto</v>
      </c>
      <c r="AM68" s="152" t="s">
        <v>92</v>
      </c>
      <c r="AN68" s="140" t="s">
        <v>848</v>
      </c>
      <c r="AO68" s="142">
        <v>45322</v>
      </c>
      <c r="AP68" s="156" t="s">
        <v>851</v>
      </c>
    </row>
    <row r="69" spans="1:42" ht="240.75" thickBot="1">
      <c r="A69" s="145">
        <v>30</v>
      </c>
      <c r="B69" s="83" t="s">
        <v>37</v>
      </c>
      <c r="C69" s="83" t="s">
        <v>774</v>
      </c>
      <c r="D69" s="92" t="str">
        <f>_xlfn.IFERROR(VLOOKUP(B69,datos!$B$1:$C$21,2,0),"")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69" s="83" t="s">
        <v>53</v>
      </c>
      <c r="F69" s="83" t="s">
        <v>784</v>
      </c>
      <c r="G69" s="83" t="s">
        <v>785</v>
      </c>
      <c r="H69" s="83" t="s">
        <v>233</v>
      </c>
      <c r="I69" s="83" t="s">
        <v>286</v>
      </c>
      <c r="J69" s="83" t="s">
        <v>786</v>
      </c>
      <c r="K69" s="160" t="s">
        <v>184</v>
      </c>
      <c r="L69" s="148" t="s">
        <v>57</v>
      </c>
      <c r="M69" s="147" t="s">
        <v>12</v>
      </c>
      <c r="N69" s="149">
        <v>12</v>
      </c>
      <c r="O69" s="109" t="str">
        <f>_xlfn.IFERROR(VLOOKUP(P69,datos!$AC$2:$AE$7,3,0),"")</f>
        <v>Baja</v>
      </c>
      <c r="P69" s="150">
        <f>+IF(OR(N69="",N69=0),"",IF(N69&lt;=datos!$AD$3,datos!$AC$3,IF(AND(N69&gt;datos!$AD$3,N69&lt;=datos!$AD$4),datos!$AC$4,IF(AND(N69&gt;datos!$AD$4,N69&lt;=datos!$AD$5),datos!$AC$5,IF(AND(N69&gt;datos!$AD$5,N69&lt;=datos!$AD$6),datos!$AC$6,IF(N69&gt;datos!$AD$7,datos!$AC$7,0))))))</f>
        <v>0.4</v>
      </c>
      <c r="Q69" s="159" t="str">
        <f>+HLOOKUP(A69,'Impacto Riesgo de Corrupción'!$D$8:$AQ$29,22,0)</f>
        <v>Mayor</v>
      </c>
      <c r="R69" s="150">
        <f>+IF(Q69="","",VLOOKUP(Q69,datos!$AC$12:$AD$15,2,0))</f>
        <v>0.8</v>
      </c>
      <c r="S69" s="158" t="str">
        <f ca="1" t="shared" si="8"/>
        <v>Alto</v>
      </c>
      <c r="T69" s="95">
        <v>1</v>
      </c>
      <c r="U69" s="83" t="s">
        <v>825</v>
      </c>
      <c r="V69" s="82" t="s">
        <v>826</v>
      </c>
      <c r="W69" s="82" t="s">
        <v>827</v>
      </c>
      <c r="X69" s="82" t="s">
        <v>828</v>
      </c>
      <c r="Y69" s="82" t="s">
        <v>829</v>
      </c>
      <c r="Z69" s="82" t="s">
        <v>830</v>
      </c>
      <c r="AA69" s="82" t="s">
        <v>831</v>
      </c>
      <c r="AB69" s="82" t="s">
        <v>832</v>
      </c>
      <c r="AC69" s="82" t="s">
        <v>742</v>
      </c>
      <c r="AD69" s="92" t="str">
        <f>IF(AE69="","",VLOOKUP(AE69,datos!$AT$6:$AU$9,2,0))</f>
        <v>Probabilidad</v>
      </c>
      <c r="AE69" s="83" t="s">
        <v>80</v>
      </c>
      <c r="AF69" s="83" t="s">
        <v>84</v>
      </c>
      <c r="AG69" s="86">
        <f>IF(AND(AE69="",AF69=""),"",IF(AE69="",0,VLOOKUP(AE69,datos!$AP$3:$AR$7,3,0))+IF(AF69="",0,VLOOKUP(AF69,datos!$AP$3:$AR$7,3,0)))</f>
        <v>0.4</v>
      </c>
      <c r="AH69" s="107" t="str">
        <f>IF(OR(AI69="",AI69=0),"",IF(AI69&lt;=datos!$AC$3,datos!$AE$3,IF(AI69&lt;=datos!$AC$4,datos!$AE$4,IF(AI69&lt;=datos!$AC$5,datos!$AE$5,IF(AI69&lt;=datos!$AC$6,datos!$AE$6,IF(AI69&lt;=datos!$AC$7,datos!$AE$7,""))))))</f>
        <v>Baja</v>
      </c>
      <c r="AI69" s="108">
        <f>IF(AD69="","",IF(T69=1,IF(AD69="Probabilidad",P69-(P69*AG69),P69),IF(AD69="Probabilidad",#REF!-(#REF!*AG69),#REF!)))</f>
        <v>0.24</v>
      </c>
      <c r="AJ69" s="109" t="str">
        <f>+IF(AK69&lt;=datos!$AD$11,datos!$AC$11,IF(AK69&lt;=datos!$AD$12,datos!$AC$12,IF(AK69&lt;=datos!$AD$13,datos!$AC$13,IF(AK69&lt;=datos!$AD$14,datos!$AC$14,IF(AK69&lt;=datos!$AD$15,datos!$AC$15,"")))))</f>
        <v>Mayor</v>
      </c>
      <c r="AK69" s="108">
        <f>IF(AD69="","",IF(T69=1,IF(AD69="Impacto",R69-(R69*AG69),R69),IF(AD69="Impacto",#REF!-(#REF!*AG69),#REF!)))</f>
        <v>0.8</v>
      </c>
      <c r="AL69" s="109" t="str">
        <f ca="1" t="shared" si="7"/>
        <v>Alto</v>
      </c>
      <c r="AM69" s="152" t="s">
        <v>92</v>
      </c>
      <c r="AN69" s="140" t="s">
        <v>848</v>
      </c>
      <c r="AO69" s="142">
        <v>45322</v>
      </c>
      <c r="AP69" s="156" t="s">
        <v>852</v>
      </c>
    </row>
    <row r="70" spans="1:42" ht="240.75" thickBot="1">
      <c r="A70" s="145">
        <v>31</v>
      </c>
      <c r="B70" s="83" t="s">
        <v>37</v>
      </c>
      <c r="C70" s="83" t="s">
        <v>774</v>
      </c>
      <c r="D70" s="92" t="str">
        <f>_xlfn.IFERROR(VLOOKUP(B70,datos!$B$1:$C$21,2,0),"")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70" s="83" t="s">
        <v>53</v>
      </c>
      <c r="F70" s="83" t="s">
        <v>787</v>
      </c>
      <c r="G70" s="83" t="s">
        <v>788</v>
      </c>
      <c r="H70" s="83" t="s">
        <v>233</v>
      </c>
      <c r="I70" s="83" t="s">
        <v>286</v>
      </c>
      <c r="J70" s="83" t="s">
        <v>789</v>
      </c>
      <c r="K70" s="160" t="s">
        <v>184</v>
      </c>
      <c r="L70" s="148" t="s">
        <v>57</v>
      </c>
      <c r="M70" s="147" t="s">
        <v>12</v>
      </c>
      <c r="N70" s="149">
        <v>193</v>
      </c>
      <c r="O70" s="109" t="str">
        <f>_xlfn.IFERROR(VLOOKUP(P70,datos!$AC$2:$AE$7,3,0),"")</f>
        <v>Media</v>
      </c>
      <c r="P70" s="150">
        <f>+IF(OR(N70="",N70=0),"",IF(N70&lt;=datos!$AD$3,datos!$AC$3,IF(AND(N70&gt;datos!$AD$3,N70&lt;=datos!$AD$4),datos!$AC$4,IF(AND(N70&gt;datos!$AD$4,N70&lt;=datos!$AD$5),datos!$AC$5,IF(AND(N70&gt;datos!$AD$5,N70&lt;=datos!$AD$6),datos!$AC$6,IF(N70&gt;datos!$AD$7,datos!$AC$7,0))))))</f>
        <v>0.6</v>
      </c>
      <c r="Q70" s="159" t="str">
        <f>+HLOOKUP(A70,'Impacto Riesgo de Corrupción'!$D$8:$AQ$29,22,0)</f>
        <v>Mayor</v>
      </c>
      <c r="R70" s="150">
        <f>+IF(Q70="","",VLOOKUP(Q70,datos!$AC$12:$AD$15,2,0))</f>
        <v>0.8</v>
      </c>
      <c r="S70" s="158" t="str">
        <f ca="1" t="shared" si="8"/>
        <v>Alto</v>
      </c>
      <c r="T70" s="95">
        <v>1</v>
      </c>
      <c r="U70" s="83" t="s">
        <v>833</v>
      </c>
      <c r="V70" s="82" t="s">
        <v>834</v>
      </c>
      <c r="W70" s="82" t="s">
        <v>835</v>
      </c>
      <c r="X70" s="82" t="s">
        <v>836</v>
      </c>
      <c r="Y70" s="82" t="s">
        <v>837</v>
      </c>
      <c r="Z70" s="82" t="s">
        <v>838</v>
      </c>
      <c r="AA70" s="82" t="s">
        <v>839</v>
      </c>
      <c r="AB70" s="82" t="s">
        <v>840</v>
      </c>
      <c r="AC70" s="82" t="s">
        <v>816</v>
      </c>
      <c r="AD70" s="92" t="str">
        <f>IF(AE70="","",VLOOKUP(AE70,datos!$AT$6:$AU$9,2,0))</f>
        <v>Probabilidad</v>
      </c>
      <c r="AE70" s="83" t="s">
        <v>80</v>
      </c>
      <c r="AF70" s="83" t="s">
        <v>84</v>
      </c>
      <c r="AG70" s="86">
        <f>IF(AND(AE70="",AF70=""),"",IF(AE70="",0,VLOOKUP(AE70,datos!$AP$3:$AR$7,3,0))+IF(AF70="",0,VLOOKUP(AF70,datos!$AP$3:$AR$7,3,0)))</f>
        <v>0.4</v>
      </c>
      <c r="AH70" s="107" t="str">
        <f>IF(OR(AI70="",AI70=0),"",IF(AI70&lt;=datos!$AC$3,datos!$AE$3,IF(AI70&lt;=datos!$AC$4,datos!$AE$4,IF(AI70&lt;=datos!$AC$5,datos!$AE$5,IF(AI70&lt;=datos!$AC$6,datos!$AE$6,IF(AI70&lt;=datos!$AC$7,datos!$AE$7,""))))))</f>
        <v>Baja</v>
      </c>
      <c r="AI70" s="108">
        <f>IF(AD70="","",IF(T70=1,IF(AD70="Probabilidad",P70-(P70*AG70),P70),IF(AD70="Probabilidad",#REF!-(#REF!*AG70),#REF!)))</f>
        <v>0.36</v>
      </c>
      <c r="AJ70" s="109" t="str">
        <f>+IF(AK70&lt;=datos!$AD$11,datos!$AC$11,IF(AK70&lt;=datos!$AD$12,datos!$AC$12,IF(AK70&lt;=datos!$AD$13,datos!$AC$13,IF(AK70&lt;=datos!$AD$14,datos!$AC$14,IF(AK70&lt;=datos!$AD$15,datos!$AC$15,"")))))</f>
        <v>Mayor</v>
      </c>
      <c r="AK70" s="108">
        <f>IF(AD70="","",IF(T70=1,IF(AD70="Impacto",R70-(R70*AG70),R70),IF(AD70="Impacto",#REF!-(#REF!*AG70),#REF!)))</f>
        <v>0.8</v>
      </c>
      <c r="AL70" s="109" t="str">
        <f ca="1" t="shared" si="7"/>
        <v>Alto</v>
      </c>
      <c r="AM70" s="152" t="s">
        <v>92</v>
      </c>
      <c r="AN70" s="140" t="s">
        <v>848</v>
      </c>
      <c r="AO70" s="142">
        <v>45322</v>
      </c>
      <c r="AP70" s="156" t="s">
        <v>851</v>
      </c>
    </row>
    <row r="71" spans="1:42" ht="240.75" thickBot="1">
      <c r="A71" s="145">
        <v>32</v>
      </c>
      <c r="B71" s="83" t="s">
        <v>37</v>
      </c>
      <c r="C71" s="83" t="s">
        <v>774</v>
      </c>
      <c r="D71" s="92" t="str">
        <f>_xlfn.IFERROR(VLOOKUP(B71,datos!$B$1:$C$21,2,0),"")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71" s="83" t="s">
        <v>55</v>
      </c>
      <c r="F71" s="83" t="s">
        <v>790</v>
      </c>
      <c r="G71" s="83" t="s">
        <v>791</v>
      </c>
      <c r="H71" s="83" t="s">
        <v>233</v>
      </c>
      <c r="I71" s="83" t="s">
        <v>286</v>
      </c>
      <c r="J71" s="83" t="s">
        <v>792</v>
      </c>
      <c r="K71" s="160" t="s">
        <v>184</v>
      </c>
      <c r="L71" s="148" t="s">
        <v>57</v>
      </c>
      <c r="M71" s="147" t="s">
        <v>12</v>
      </c>
      <c r="N71" s="149">
        <v>172</v>
      </c>
      <c r="O71" s="109" t="str">
        <f>_xlfn.IFERROR(VLOOKUP(P71,datos!$AC$2:$AE$7,3,0),"")</f>
        <v>Media</v>
      </c>
      <c r="P71" s="150">
        <f>+IF(OR(N71="",N71=0),"",IF(N71&lt;=datos!$AD$3,datos!$AC$3,IF(AND(N71&gt;datos!$AD$3,N71&lt;=datos!$AD$4),datos!$AC$4,IF(AND(N71&gt;datos!$AD$4,N71&lt;=datos!$AD$5),datos!$AC$5,IF(AND(N71&gt;datos!$AD$5,N71&lt;=datos!$AD$6),datos!$AC$6,IF(N71&gt;datos!$AD$7,datos!$AC$7,0))))))</f>
        <v>0.6</v>
      </c>
      <c r="Q71" s="159" t="str">
        <f>+HLOOKUP(A71,'Impacto Riesgo de Corrupción'!$D$8:$AQ$29,22,0)</f>
        <v>Mayor</v>
      </c>
      <c r="R71" s="150">
        <f>+IF(Q71="","",VLOOKUP(Q71,datos!$AC$12:$AD$15,2,0))</f>
        <v>0.8</v>
      </c>
      <c r="S71" s="158" t="str">
        <f ca="1" t="shared" si="8"/>
        <v>Alto</v>
      </c>
      <c r="T71" s="95">
        <v>1</v>
      </c>
      <c r="U71" s="83" t="s">
        <v>841</v>
      </c>
      <c r="V71" s="82" t="s">
        <v>794</v>
      </c>
      <c r="W71" s="82" t="s">
        <v>842</v>
      </c>
      <c r="X71" s="82" t="s">
        <v>843</v>
      </c>
      <c r="Y71" s="82" t="s">
        <v>844</v>
      </c>
      <c r="Z71" s="82" t="s">
        <v>845</v>
      </c>
      <c r="AA71" s="82" t="s">
        <v>846</v>
      </c>
      <c r="AB71" s="82" t="s">
        <v>847</v>
      </c>
      <c r="AC71" s="82" t="s">
        <v>742</v>
      </c>
      <c r="AD71" s="92" t="str">
        <f>IF(AE71="","",VLOOKUP(AE71,datos!$AT$6:$AU$9,2,0))</f>
        <v>Probabilidad</v>
      </c>
      <c r="AE71" s="83" t="s">
        <v>80</v>
      </c>
      <c r="AF71" s="83" t="s">
        <v>84</v>
      </c>
      <c r="AG71" s="86">
        <f>IF(AND(AE71="",AF71=""),"",IF(AE71="",0,VLOOKUP(AE71,datos!$AP$3:$AR$7,3,0))+IF(AF71="",0,VLOOKUP(AF71,datos!$AP$3:$AR$7,3,0)))</f>
        <v>0.4</v>
      </c>
      <c r="AH71" s="107" t="str">
        <f>IF(OR(AI71="",AI71=0),"",IF(AI71&lt;=datos!$AC$3,datos!$AE$3,IF(AI71&lt;=datos!$AC$4,datos!$AE$4,IF(AI71&lt;=datos!$AC$5,datos!$AE$5,IF(AI71&lt;=datos!$AC$6,datos!$AE$6,IF(AI71&lt;=datos!$AC$7,datos!$AE$7,""))))))</f>
        <v>Baja</v>
      </c>
      <c r="AI71" s="108">
        <f>IF(AD71="","",IF(T71=1,IF(AD71="Probabilidad",P71-(P71*AG71),P71),IF(AD71="Probabilidad",#REF!-(#REF!*AG71),#REF!)))</f>
        <v>0.36</v>
      </c>
      <c r="AJ71" s="109" t="str">
        <f>+IF(AK71&lt;=datos!$AD$11,datos!$AC$11,IF(AK71&lt;=datos!$AD$12,datos!$AC$12,IF(AK71&lt;=datos!$AD$13,datos!$AC$13,IF(AK71&lt;=datos!$AD$14,datos!$AC$14,IF(AK71&lt;=datos!$AD$15,datos!$AC$15,"")))))</f>
        <v>Mayor</v>
      </c>
      <c r="AK71" s="108">
        <f>IF(AD71="","",IF(T71=1,IF(AD71="Impacto",R71-(R71*AG71),R71),IF(AD71="Impacto",#REF!-(#REF!*AG71),#REF!)))</f>
        <v>0.8</v>
      </c>
      <c r="AL71" s="109" t="str">
        <f ca="1" t="shared" si="7"/>
        <v>Alto</v>
      </c>
      <c r="AM71" s="152" t="s">
        <v>92</v>
      </c>
      <c r="AN71" s="140" t="s">
        <v>848</v>
      </c>
      <c r="AO71" s="142">
        <v>45322</v>
      </c>
      <c r="AP71" s="156" t="s">
        <v>851</v>
      </c>
    </row>
    <row r="72" spans="1:42" ht="84">
      <c r="A72" s="221">
        <v>33</v>
      </c>
      <c r="B72" s="223" t="s">
        <v>33</v>
      </c>
      <c r="C72" s="223" t="s">
        <v>248</v>
      </c>
      <c r="D72" s="227" t="str">
        <f>_xlfn.IFERROR(VLOOKUP(B72,datos!$B$1:$C$21,2,0),"")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72" s="223" t="s">
        <v>55</v>
      </c>
      <c r="F72" s="223" t="s">
        <v>853</v>
      </c>
      <c r="G72" s="223" t="s">
        <v>854</v>
      </c>
      <c r="H72" s="223" t="s">
        <v>233</v>
      </c>
      <c r="I72" s="223"/>
      <c r="J72" s="223" t="s">
        <v>855</v>
      </c>
      <c r="K72" s="229" t="s">
        <v>184</v>
      </c>
      <c r="L72" s="231" t="s">
        <v>58</v>
      </c>
      <c r="M72" s="235" t="s">
        <v>274</v>
      </c>
      <c r="N72" s="233">
        <v>40</v>
      </c>
      <c r="O72" s="225" t="str">
        <f>_xlfn.IFERROR(VLOOKUP(P72,datos!$AC$2:$AE$7,3,0),"")</f>
        <v>Media</v>
      </c>
      <c r="P72" s="209">
        <f>+IF(OR(N72="",N72=0),"",IF(N72&lt;=datos!$AD$3,datos!$AC$3,IF(AND(N72&gt;datos!$AD$3,N72&lt;=datos!$AD$4),datos!$AC$4,IF(AND(N72&gt;datos!$AD$4,N72&lt;=datos!$AD$5),datos!$AC$5,IF(AND(N72&gt;datos!$AD$5,N72&lt;=datos!$AD$6),datos!$AC$6,IF(N72&gt;datos!$AD$7,datos!$AC$7,0))))))</f>
        <v>0.6</v>
      </c>
      <c r="Q72" s="211" t="str">
        <f>+HLOOKUP(A72,'Impacto Riesgo de Corrupción'!$D$8:$AQ$29,22,0)</f>
        <v>Catastrófico</v>
      </c>
      <c r="R72" s="209">
        <f>+IF(Q72="","",VLOOKUP(Q72,datos!$AC$12:$AD$15,2,0))</f>
        <v>1</v>
      </c>
      <c r="S72" s="207" t="str">
        <f ca="1" t="shared" si="8"/>
        <v>Extremo</v>
      </c>
      <c r="T72" s="95">
        <v>1</v>
      </c>
      <c r="U72" s="83" t="s">
        <v>859</v>
      </c>
      <c r="V72" s="82" t="s">
        <v>860</v>
      </c>
      <c r="W72" s="82" t="s">
        <v>861</v>
      </c>
      <c r="X72" s="82" t="s">
        <v>862</v>
      </c>
      <c r="Y72" s="82" t="s">
        <v>863</v>
      </c>
      <c r="Z72" s="82" t="s">
        <v>864</v>
      </c>
      <c r="AA72" s="82" t="s">
        <v>865</v>
      </c>
      <c r="AB72" s="82" t="s">
        <v>866</v>
      </c>
      <c r="AC72" s="82" t="s">
        <v>867</v>
      </c>
      <c r="AD72" s="92" t="str">
        <f>IF(AE72="","",VLOOKUP(AE72,datos!$AT$6:$AU$9,2,0))</f>
        <v>Probabilidad</v>
      </c>
      <c r="AE72" s="83" t="s">
        <v>80</v>
      </c>
      <c r="AF72" s="83" t="s">
        <v>84</v>
      </c>
      <c r="AG72" s="86">
        <f>IF(AND(AE72="",AF72=""),"",IF(AE72="",0,VLOOKUP(AE72,datos!$AP$3:$AR$7,3,0))+IF(AF72="",0,VLOOKUP(AF72,datos!$AP$3:$AR$7,3,0)))</f>
        <v>0.4</v>
      </c>
      <c r="AH72" s="107" t="str">
        <f>IF(OR(AI72="",AI72=0),"",IF(AI72&lt;=datos!$AC$3,datos!$AE$3,IF(AI72&lt;=datos!$AC$4,datos!$AE$4,IF(AI72&lt;=datos!$AC$5,datos!$AE$5,IF(AI72&lt;=datos!$AC$6,datos!$AE$6,IF(AI72&lt;=datos!$AC$7,datos!$AE$7,""))))))</f>
        <v>Baja</v>
      </c>
      <c r="AI72" s="108">
        <f>IF(AD72="","",IF(T72=1,IF(AD72="Probabilidad",P72-(P72*AG72),P72),IF(AD72="Probabilidad",#REF!-(#REF!*AG72),#REF!)))</f>
        <v>0.36</v>
      </c>
      <c r="AJ72" s="109" t="str">
        <f>+IF(AK72&lt;=datos!$AD$11,datos!$AC$11,IF(AK72&lt;=datos!$AD$12,datos!$AC$12,IF(AK72&lt;=datos!$AD$13,datos!$AC$13,IF(AK72&lt;=datos!$AD$14,datos!$AC$14,IF(AK72&lt;=datos!$AD$15,datos!$AC$15,"")))))</f>
        <v>Catastrófico</v>
      </c>
      <c r="AK72" s="108">
        <f>IF(AD72="","",IF(T72=1,IF(AD72="Impacto",R72-(R72*AG72),R72),IF(AD72="Impacto",#REF!-(#REF!*AG72),#REF!)))</f>
        <v>1</v>
      </c>
      <c r="AL72" s="109" t="str">
        <f ca="1" t="shared" si="7"/>
        <v>Extremo</v>
      </c>
      <c r="AM72" s="254" t="s">
        <v>92</v>
      </c>
      <c r="AN72" s="197" t="s">
        <v>894</v>
      </c>
      <c r="AO72" s="199">
        <v>45323</v>
      </c>
      <c r="AP72" s="186" t="s">
        <v>895</v>
      </c>
    </row>
    <row r="73" spans="1:42" ht="120.75" thickBot="1">
      <c r="A73" s="222"/>
      <c r="B73" s="224"/>
      <c r="C73" s="224"/>
      <c r="D73" s="228"/>
      <c r="E73" s="224"/>
      <c r="F73" s="224"/>
      <c r="G73" s="224"/>
      <c r="H73" s="224"/>
      <c r="I73" s="224"/>
      <c r="J73" s="224"/>
      <c r="K73" s="230"/>
      <c r="L73" s="232"/>
      <c r="M73" s="236"/>
      <c r="N73" s="234"/>
      <c r="O73" s="226"/>
      <c r="P73" s="210"/>
      <c r="Q73" s="212"/>
      <c r="R73" s="210" t="e">
        <f>IF(OR(#REF!=datos!$AB$10,#REF!=datos!$AB$16),"",VLOOKUP(#REF!,datos!$AA$10:$AC$21,3,0))</f>
        <v>#REF!</v>
      </c>
      <c r="S73" s="208"/>
      <c r="T73" s="96">
        <v>2</v>
      </c>
      <c r="U73" s="79" t="s">
        <v>868</v>
      </c>
      <c r="V73" s="78" t="s">
        <v>869</v>
      </c>
      <c r="W73" s="78" t="s">
        <v>861</v>
      </c>
      <c r="X73" s="78" t="s">
        <v>870</v>
      </c>
      <c r="Y73" s="78" t="s">
        <v>871</v>
      </c>
      <c r="Z73" s="78" t="s">
        <v>872</v>
      </c>
      <c r="AA73" s="78" t="s">
        <v>873</v>
      </c>
      <c r="AB73" s="78" t="s">
        <v>874</v>
      </c>
      <c r="AC73" s="78" t="s">
        <v>867</v>
      </c>
      <c r="AD73" s="91" t="str">
        <f>IF(AE73="","",VLOOKUP(AE73,datos!$AT$6:$AU$9,2,0))</f>
        <v>Probabilidad</v>
      </c>
      <c r="AE73" s="79" t="s">
        <v>80</v>
      </c>
      <c r="AF73" s="79" t="s">
        <v>84</v>
      </c>
      <c r="AG73" s="87">
        <f>IF(AND(AE73="",AF73=""),"",IF(AE73="",0,VLOOKUP(AE73,datos!$AP$3:$AR$7,3,0))+IF(AF73="",0,VLOOKUP(AF73,datos!$AP$3:$AR$7,3,0)))</f>
        <v>0.4</v>
      </c>
      <c r="AH73" s="110" t="str">
        <f>IF(OR(AI73="",AI73=0),"",IF(AI73&lt;=datos!$AC$3,datos!$AE$3,IF(AI73&lt;=datos!$AC$4,datos!$AE$4,IF(AI73&lt;=datos!$AC$5,datos!$AE$5,IF(AI73&lt;=datos!$AC$6,datos!$AE$6,IF(AI73&lt;=datos!$AC$7,datos!$AE$7,""))))))</f>
        <v>Baja</v>
      </c>
      <c r="AI73" s="111">
        <f>IF(AD73="","",IF(T73=1,IF(AD73="Probabilidad",P73-(P73*AG73),P73),IF(AD73="Probabilidad",AI72-(AI72*AG73),AI72)))</f>
        <v>0.216</v>
      </c>
      <c r="AJ73" s="112" t="str">
        <f>+IF(AK73&lt;=datos!$AD$11,datos!$AC$11,IF(AK73&lt;=datos!$AD$12,datos!$AC$12,IF(AK73&lt;=datos!$AD$13,datos!$AC$13,IF(AK73&lt;=datos!$AD$14,datos!$AC$14,IF(AK73&lt;=datos!$AD$15,datos!$AC$15,"")))))</f>
        <v>Catastrófico</v>
      </c>
      <c r="AK73" s="111">
        <f>IF(AD73="","",IF(T73=1,IF(AD73="Impacto",R73-(R73*AG73),R73),IF(AD73="Impacto",AK72-(AK72*AG73),AK72)))</f>
        <v>1</v>
      </c>
      <c r="AL73" s="112" t="str">
        <f ca="1" t="shared" si="7"/>
        <v>Extremo</v>
      </c>
      <c r="AM73" s="255"/>
      <c r="AN73" s="198"/>
      <c r="AO73" s="200"/>
      <c r="AP73" s="187"/>
    </row>
    <row r="74" spans="1:42" ht="108">
      <c r="A74" s="221">
        <v>34</v>
      </c>
      <c r="B74" s="223" t="s">
        <v>33</v>
      </c>
      <c r="C74" s="223" t="s">
        <v>248</v>
      </c>
      <c r="D74" s="227" t="str">
        <f>_xlfn.IFERROR(VLOOKUP(B74,datos!$B$1:$C$21,2,0),"")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74" s="223" t="s">
        <v>55</v>
      </c>
      <c r="F74" s="223" t="s">
        <v>856</v>
      </c>
      <c r="G74" s="223" t="s">
        <v>857</v>
      </c>
      <c r="H74" s="223" t="s">
        <v>233</v>
      </c>
      <c r="I74" s="223"/>
      <c r="J74" s="223" t="s">
        <v>858</v>
      </c>
      <c r="K74" s="229" t="s">
        <v>184</v>
      </c>
      <c r="L74" s="231" t="s">
        <v>198</v>
      </c>
      <c r="M74" s="235" t="s">
        <v>271</v>
      </c>
      <c r="N74" s="233">
        <v>8760</v>
      </c>
      <c r="O74" s="225" t="str">
        <f>_xlfn.IFERROR(VLOOKUP(P74,datos!$AC$2:$AE$7,3,0),"")</f>
        <v>Muy Alta</v>
      </c>
      <c r="P74" s="209">
        <f>+IF(OR(N74="",N74=0),"",IF(N74&lt;=datos!$AD$3,datos!$AC$3,IF(AND(N74&gt;datos!$AD$3,N74&lt;=datos!$AD$4),datos!$AC$4,IF(AND(N74&gt;datos!$AD$4,N74&lt;=datos!$AD$5),datos!$AC$5,IF(AND(N74&gt;datos!$AD$5,N74&lt;=datos!$AD$6),datos!$AC$6,IF(N74&gt;datos!$AD$7,datos!$AC$7,0))))))</f>
        <v>1</v>
      </c>
      <c r="Q74" s="211" t="str">
        <f>+HLOOKUP(A74,'Impacto Riesgo de Corrupción'!$D$8:$AQ$29,22,0)</f>
        <v>Catastrófico</v>
      </c>
      <c r="R74" s="209">
        <f>+IF(Q74="","",VLOOKUP(Q74,datos!$AC$12:$AD$15,2,0))</f>
        <v>1</v>
      </c>
      <c r="S74" s="207" t="str">
        <f ca="1">_xlfn.IFERROR(INDIRECT("datos!"&amp;HLOOKUP(Q74,calculo_imp,2,FALSE)&amp;VLOOKUP(O74,calculo_prob,2,FALSE)),"")</f>
        <v>Extremo</v>
      </c>
      <c r="T74" s="95">
        <v>1</v>
      </c>
      <c r="U74" s="83" t="s">
        <v>875</v>
      </c>
      <c r="V74" s="82" t="s">
        <v>876</v>
      </c>
      <c r="W74" s="82" t="s">
        <v>546</v>
      </c>
      <c r="X74" s="82" t="s">
        <v>877</v>
      </c>
      <c r="Y74" s="82" t="s">
        <v>878</v>
      </c>
      <c r="Z74" s="82" t="s">
        <v>879</v>
      </c>
      <c r="AA74" s="82" t="s">
        <v>880</v>
      </c>
      <c r="AB74" s="82" t="s">
        <v>881</v>
      </c>
      <c r="AC74" s="82" t="s">
        <v>867</v>
      </c>
      <c r="AD74" s="92" t="str">
        <f>IF(AE74="","",VLOOKUP(AE74,datos!$AT$6:$AU$9,2,0))</f>
        <v>Probabilidad</v>
      </c>
      <c r="AE74" s="83" t="s">
        <v>80</v>
      </c>
      <c r="AF74" s="83" t="s">
        <v>84</v>
      </c>
      <c r="AG74" s="86">
        <f>IF(AND(AE74="",AF74=""),"",IF(AE74="",0,VLOOKUP(AE74,datos!$AP$3:$AR$7,3,0))+IF(AF74="",0,VLOOKUP(AF74,datos!$AP$3:$AR$7,3,0)))</f>
        <v>0.4</v>
      </c>
      <c r="AH74" s="107" t="str">
        <f>IF(OR(AI74="",AI74=0),"",IF(AI74&lt;=datos!$AC$3,datos!$AE$3,IF(AI74&lt;=datos!$AC$4,datos!$AE$4,IF(AI74&lt;=datos!$AC$5,datos!$AE$5,IF(AI74&lt;=datos!$AC$6,datos!$AE$6,IF(AI74&lt;=datos!$AC$7,datos!$AE$7,""))))))</f>
        <v>Media</v>
      </c>
      <c r="AI74" s="108">
        <f>IF(AD74="","",IF(T74=1,IF(AD74="Probabilidad",P74-(P74*AG74),P74),IF(AD74="Probabilidad",#REF!-(#REF!*AG74),#REF!)))</f>
        <v>0.6</v>
      </c>
      <c r="AJ74" s="109" t="str">
        <f>+IF(AK74&lt;=datos!$AD$11,datos!$AC$11,IF(AK74&lt;=datos!$AD$12,datos!$AC$12,IF(AK74&lt;=datos!$AD$13,datos!$AC$13,IF(AK74&lt;=datos!$AD$14,datos!$AC$14,IF(AK74&lt;=datos!$AD$15,datos!$AC$15,"")))))</f>
        <v>Catastrófico</v>
      </c>
      <c r="AK74" s="108">
        <f>IF(AD74="","",IF(T74=1,IF(AD74="Impacto",R74-(R74*AG74),R74),IF(AD74="Impacto",#REF!-(#REF!*AG74),#REF!)))</f>
        <v>1</v>
      </c>
      <c r="AL74" s="109" t="str">
        <f aca="true" ca="1" t="shared" si="9" ref="AL74:AL84">_xlfn.IFERROR(INDIRECT("datos!"&amp;HLOOKUP(AJ74,calculo_imp,2,FALSE)&amp;VLOOKUP(AH74,calculo_prob,2,FALSE)),"")</f>
        <v>Extremo</v>
      </c>
      <c r="AM74" s="254" t="s">
        <v>92</v>
      </c>
      <c r="AN74" s="197" t="s">
        <v>896</v>
      </c>
      <c r="AO74" s="199" t="s">
        <v>533</v>
      </c>
      <c r="AP74" s="186"/>
    </row>
    <row r="75" spans="1:42" ht="48">
      <c r="A75" s="222"/>
      <c r="B75" s="224"/>
      <c r="C75" s="224"/>
      <c r="D75" s="228"/>
      <c r="E75" s="224"/>
      <c r="F75" s="224"/>
      <c r="G75" s="224"/>
      <c r="H75" s="224"/>
      <c r="I75" s="224"/>
      <c r="J75" s="224"/>
      <c r="K75" s="230"/>
      <c r="L75" s="232"/>
      <c r="M75" s="236"/>
      <c r="N75" s="234"/>
      <c r="O75" s="226"/>
      <c r="P75" s="210"/>
      <c r="Q75" s="212"/>
      <c r="R75" s="210" t="e">
        <f>IF(OR(#REF!=datos!$AB$10,#REF!=datos!$AB$16),"",VLOOKUP(#REF!,datos!$AA$10:$AC$21,3,0))</f>
        <v>#REF!</v>
      </c>
      <c r="S75" s="208"/>
      <c r="T75" s="96">
        <v>2</v>
      </c>
      <c r="U75" s="79" t="s">
        <v>882</v>
      </c>
      <c r="V75" s="78" t="s">
        <v>883</v>
      </c>
      <c r="W75" s="78" t="s">
        <v>675</v>
      </c>
      <c r="X75" s="78" t="s">
        <v>884</v>
      </c>
      <c r="Y75" s="78" t="s">
        <v>885</v>
      </c>
      <c r="Z75" s="78" t="s">
        <v>886</v>
      </c>
      <c r="AA75" s="78" t="s">
        <v>887</v>
      </c>
      <c r="AB75" s="78" t="s">
        <v>887</v>
      </c>
      <c r="AC75" s="78" t="s">
        <v>867</v>
      </c>
      <c r="AD75" s="91" t="str">
        <f>IF(AE75="","",VLOOKUP(AE75,datos!$AT$6:$AU$9,2,0))</f>
        <v>Probabilidad</v>
      </c>
      <c r="AE75" s="79" t="s">
        <v>80</v>
      </c>
      <c r="AF75" s="79" t="s">
        <v>84</v>
      </c>
      <c r="AG75" s="87">
        <f>IF(AND(AE75="",AF75=""),"",IF(AE75="",0,VLOOKUP(AE75,datos!$AP$3:$AR$7,3,0))+IF(AF75="",0,VLOOKUP(AF75,datos!$AP$3:$AR$7,3,0)))</f>
        <v>0.4</v>
      </c>
      <c r="AH75" s="110" t="str">
        <f>IF(OR(AI75="",AI75=0),"",IF(AI75&lt;=datos!$AC$3,datos!$AE$3,IF(AI75&lt;=datos!$AC$4,datos!$AE$4,IF(AI75&lt;=datos!$AC$5,datos!$AE$5,IF(AI75&lt;=datos!$AC$6,datos!$AE$6,IF(AI75&lt;=datos!$AC$7,datos!$AE$7,""))))))</f>
        <v>Baja</v>
      </c>
      <c r="AI75" s="111">
        <f aca="true" t="shared" si="10" ref="AI75:AI81">IF(AD75="","",IF(T75=1,IF(AD75="Probabilidad",P75-(P75*AG75),P75),IF(AD75="Probabilidad",AI74-(AI74*AG75),AI74)))</f>
        <v>0.36</v>
      </c>
      <c r="AJ75" s="112" t="str">
        <f>+IF(AK75&lt;=datos!$AD$11,datos!$AC$11,IF(AK75&lt;=datos!$AD$12,datos!$AC$12,IF(AK75&lt;=datos!$AD$13,datos!$AC$13,IF(AK75&lt;=datos!$AD$14,datos!$AC$14,IF(AK75&lt;=datos!$AD$15,datos!$AC$15,"")))))</f>
        <v>Catastrófico</v>
      </c>
      <c r="AK75" s="111">
        <f aca="true" t="shared" si="11" ref="AK75:AK81">IF(AD75="","",IF(T75=1,IF(AD75="Impacto",R75-(R75*AG75),R75),IF(AD75="Impacto",AK74-(AK74*AG75),AK74)))</f>
        <v>1</v>
      </c>
      <c r="AL75" s="112" t="str">
        <f ca="1" t="shared" si="9"/>
        <v>Extremo</v>
      </c>
      <c r="AM75" s="255"/>
      <c r="AN75" s="198"/>
      <c r="AO75" s="200"/>
      <c r="AP75" s="187"/>
    </row>
    <row r="76" spans="1:42" ht="96.75" thickBot="1">
      <c r="A76" s="222"/>
      <c r="B76" s="224"/>
      <c r="C76" s="224"/>
      <c r="D76" s="228"/>
      <c r="E76" s="224"/>
      <c r="F76" s="224"/>
      <c r="G76" s="224"/>
      <c r="H76" s="224"/>
      <c r="I76" s="224"/>
      <c r="J76" s="224"/>
      <c r="K76" s="230"/>
      <c r="L76" s="232"/>
      <c r="M76" s="236"/>
      <c r="N76" s="234"/>
      <c r="O76" s="226"/>
      <c r="P76" s="210"/>
      <c r="Q76" s="212"/>
      <c r="R76" s="210" t="e">
        <f>IF(OR(#REF!=datos!$AB$10,#REF!=datos!$AB$16),"",VLOOKUP(#REF!,datos!$AA$10:$AC$21,3,0))</f>
        <v>#REF!</v>
      </c>
      <c r="S76" s="208"/>
      <c r="T76" s="96">
        <v>3</v>
      </c>
      <c r="U76" s="79" t="s">
        <v>888</v>
      </c>
      <c r="V76" s="78" t="s">
        <v>883</v>
      </c>
      <c r="W76" s="78" t="s">
        <v>546</v>
      </c>
      <c r="X76" s="78" t="s">
        <v>889</v>
      </c>
      <c r="Y76" s="78" t="s">
        <v>890</v>
      </c>
      <c r="Z76" s="78" t="s">
        <v>891</v>
      </c>
      <c r="AA76" s="78" t="s">
        <v>892</v>
      </c>
      <c r="AB76" s="78" t="s">
        <v>893</v>
      </c>
      <c r="AC76" s="78" t="s">
        <v>867</v>
      </c>
      <c r="AD76" s="91" t="str">
        <f>IF(AE76="","",VLOOKUP(AE76,datos!$AT$6:$AU$9,2,0))</f>
        <v>Probabilidad</v>
      </c>
      <c r="AE76" s="79" t="s">
        <v>80</v>
      </c>
      <c r="AF76" s="79" t="s">
        <v>84</v>
      </c>
      <c r="AG76" s="87">
        <f>IF(AND(AE76="",AF76=""),"",IF(AE76="",0,VLOOKUP(AE76,datos!$AP$3:$AR$7,3,0))+IF(AF76="",0,VLOOKUP(AF76,datos!$AP$3:$AR$7,3,0)))</f>
        <v>0.4</v>
      </c>
      <c r="AH76" s="110" t="str">
        <f>IF(OR(AI76="",AI76=0),"",IF(AI76&lt;=datos!$AC$3,datos!$AE$3,IF(AI76&lt;=datos!$AC$4,datos!$AE$4,IF(AI76&lt;=datos!$AC$5,datos!$AE$5,IF(AI76&lt;=datos!$AC$6,datos!$AE$6,IF(AI76&lt;=datos!$AC$7,datos!$AE$7,""))))))</f>
        <v>Baja</v>
      </c>
      <c r="AI76" s="111">
        <f t="shared" si="10"/>
        <v>0.216</v>
      </c>
      <c r="AJ76" s="112" t="str">
        <f>+IF(AK76&lt;=datos!$AD$11,datos!$AC$11,IF(AK76&lt;=datos!$AD$12,datos!$AC$12,IF(AK76&lt;=datos!$AD$13,datos!$AC$13,IF(AK76&lt;=datos!$AD$14,datos!$AC$14,IF(AK76&lt;=datos!$AD$15,datos!$AC$15,"")))))</f>
        <v>Catastrófico</v>
      </c>
      <c r="AK76" s="111">
        <f t="shared" si="11"/>
        <v>1</v>
      </c>
      <c r="AL76" s="112" t="str">
        <f ca="1" t="shared" si="9"/>
        <v>Extremo</v>
      </c>
      <c r="AM76" s="255"/>
      <c r="AN76" s="198"/>
      <c r="AO76" s="200"/>
      <c r="AP76" s="187"/>
    </row>
    <row r="77" spans="1:42" ht="144.75" thickBot="1">
      <c r="A77" s="145">
        <v>35</v>
      </c>
      <c r="B77" s="83" t="s">
        <v>35</v>
      </c>
      <c r="C77" s="83" t="s">
        <v>247</v>
      </c>
      <c r="D77" s="92" t="str">
        <f>_xlfn.IFERROR(VLOOKUP(B77,datos!$B$1:$C$21,2,0),"")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77" s="83" t="s">
        <v>55</v>
      </c>
      <c r="F77" s="83" t="s">
        <v>897</v>
      </c>
      <c r="G77" s="83" t="s">
        <v>898</v>
      </c>
      <c r="H77" s="83" t="s">
        <v>233</v>
      </c>
      <c r="I77" s="83" t="s">
        <v>899</v>
      </c>
      <c r="J77" s="83" t="s">
        <v>900</v>
      </c>
      <c r="K77" s="160" t="s">
        <v>184</v>
      </c>
      <c r="L77" s="148" t="s">
        <v>197</v>
      </c>
      <c r="M77" s="147" t="s">
        <v>12</v>
      </c>
      <c r="N77" s="149">
        <v>16000</v>
      </c>
      <c r="O77" s="109" t="str">
        <f>_xlfn.IFERROR(VLOOKUP(P77,datos!$AC$2:$AE$7,3,0),"")</f>
        <v>Muy Alta</v>
      </c>
      <c r="P77" s="150">
        <f>+IF(OR(N77="",N77=0),"",IF(N77&lt;=datos!$AD$3,datos!$AC$3,IF(AND(N77&gt;datos!$AD$3,N77&lt;=datos!$AD$4),datos!$AC$4,IF(AND(N77&gt;datos!$AD$4,N77&lt;=datos!$AD$5),datos!$AC$5,IF(AND(N77&gt;datos!$AD$5,N77&lt;=datos!$AD$6),datos!$AC$6,IF(N77&gt;datos!$AD$7,datos!$AC$7,0))))))</f>
        <v>1</v>
      </c>
      <c r="Q77" s="159" t="str">
        <f>+HLOOKUP(A77,'Impacto Riesgo de Corrupción'!$D$8:$AQ$29,22,0)</f>
        <v>Catastrófico</v>
      </c>
      <c r="R77" s="150">
        <f>+IF(Q77="","",VLOOKUP(Q77,datos!$AC$12:$AD$15,2,0))</f>
        <v>1</v>
      </c>
      <c r="S77" s="158" t="str">
        <f ca="1">_xlfn.IFERROR(INDIRECT("datos!"&amp;HLOOKUP(Q77,calculo_imp,2,FALSE)&amp;VLOOKUP(O77,calculo_prob,2,FALSE)),"")</f>
        <v>Extremo</v>
      </c>
      <c r="T77" s="95">
        <v>1</v>
      </c>
      <c r="U77" s="83" t="s">
        <v>901</v>
      </c>
      <c r="V77" s="82" t="s">
        <v>902</v>
      </c>
      <c r="W77" s="82" t="s">
        <v>675</v>
      </c>
      <c r="X77" s="82" t="s">
        <v>903</v>
      </c>
      <c r="Y77" s="82" t="s">
        <v>904</v>
      </c>
      <c r="Z77" s="82" t="s">
        <v>905</v>
      </c>
      <c r="AA77" s="82" t="s">
        <v>906</v>
      </c>
      <c r="AB77" s="82" t="s">
        <v>907</v>
      </c>
      <c r="AC77" s="82" t="s">
        <v>908</v>
      </c>
      <c r="AD77" s="92" t="str">
        <f>IF(AE77="","",VLOOKUP(AE77,datos!$AT$6:$AU$9,2,0))</f>
        <v>Probabilidad</v>
      </c>
      <c r="AE77" s="83" t="s">
        <v>80</v>
      </c>
      <c r="AF77" s="83" t="s">
        <v>84</v>
      </c>
      <c r="AG77" s="86">
        <f>IF(AND(AE77="",AF77=""),"",IF(AE77="",0,VLOOKUP(AE77,datos!$AP$3:$AR$7,3,0))+IF(AF77="",0,VLOOKUP(AF77,datos!$AP$3:$AR$7,3,0)))</f>
        <v>0.4</v>
      </c>
      <c r="AH77" s="107" t="str">
        <f>IF(OR(AI77="",AI77=0),"",IF(AI77&lt;=datos!$AC$3,datos!$AE$3,IF(AI77&lt;=datos!$AC$4,datos!$AE$4,IF(AI77&lt;=datos!$AC$5,datos!$AE$5,IF(AI77&lt;=datos!$AC$6,datos!$AE$6,IF(AI77&lt;=datos!$AC$7,datos!$AE$7,""))))))</f>
        <v>Media</v>
      </c>
      <c r="AI77" s="108">
        <f>IF(AD77="","",IF(T77=1,IF(AD77="Probabilidad",P77-(P77*AG77),P77),IF(AD77="Probabilidad",#REF!-(#REF!*AG77),#REF!)))</f>
        <v>0.6</v>
      </c>
      <c r="AJ77" s="109" t="str">
        <f>+IF(AK77&lt;=datos!$AD$11,datos!$AC$11,IF(AK77&lt;=datos!$AD$12,datos!$AC$12,IF(AK77&lt;=datos!$AD$13,datos!$AC$13,IF(AK77&lt;=datos!$AD$14,datos!$AC$14,IF(AK77&lt;=datos!$AD$15,datos!$AC$15,"")))))</f>
        <v>Catastrófico</v>
      </c>
      <c r="AK77" s="108">
        <f>IF(AD77="","",IF(T77=1,IF(AD77="Impacto",R77-(R77*AG77),R77),IF(AD77="Impacto",#REF!-(#REF!*AG77),#REF!)))</f>
        <v>1</v>
      </c>
      <c r="AL77" s="109" t="str">
        <f ca="1" t="shared" si="9"/>
        <v>Extremo</v>
      </c>
      <c r="AM77" s="152" t="s">
        <v>92</v>
      </c>
      <c r="AN77" s="140"/>
      <c r="AO77" s="142"/>
      <c r="AP77" s="156"/>
    </row>
    <row r="78" spans="1:42" ht="228">
      <c r="A78" s="221">
        <v>36</v>
      </c>
      <c r="B78" s="223" t="s">
        <v>32</v>
      </c>
      <c r="C78" s="223" t="s">
        <v>250</v>
      </c>
      <c r="D78" s="227" t="str">
        <f>_xlfn.IFERROR(VLOOKUP(B78,datos!$B$1:$C$21,2,0),"")</f>
        <v>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v>
      </c>
      <c r="E78" s="223" t="s">
        <v>54</v>
      </c>
      <c r="F78" s="223" t="s">
        <v>909</v>
      </c>
      <c r="G78" s="223" t="s">
        <v>910</v>
      </c>
      <c r="H78" s="223" t="s">
        <v>233</v>
      </c>
      <c r="I78" s="223" t="s">
        <v>336</v>
      </c>
      <c r="J78" s="223" t="s">
        <v>911</v>
      </c>
      <c r="K78" s="229" t="s">
        <v>184</v>
      </c>
      <c r="L78" s="231" t="s">
        <v>59</v>
      </c>
      <c r="M78" s="235" t="s">
        <v>274</v>
      </c>
      <c r="N78" s="233">
        <v>2585</v>
      </c>
      <c r="O78" s="225" t="str">
        <f>_xlfn.IFERROR(VLOOKUP(P78,datos!$AC$2:$AE$7,3,0),"")</f>
        <v>Alta</v>
      </c>
      <c r="P78" s="209">
        <f>+IF(OR(N78="",N78=0),"",IF(N78&lt;=datos!$AD$3,datos!$AC$3,IF(AND(N78&gt;datos!$AD$3,N78&lt;=datos!$AD$4),datos!$AC$4,IF(AND(N78&gt;datos!$AD$4,N78&lt;=datos!$AD$5),datos!$AC$5,IF(AND(N78&gt;datos!$AD$5,N78&lt;=datos!$AD$6),datos!$AC$6,IF(N78&gt;datos!$AD$7,datos!$AC$7,0))))))</f>
        <v>0.8</v>
      </c>
      <c r="Q78" s="211" t="str">
        <f>+HLOOKUP(A78,'Impacto Riesgo de Corrupción'!$D$8:$AQ$29,22,0)</f>
        <v>Mayor</v>
      </c>
      <c r="R78" s="209">
        <f>+IF(Q78="","",VLOOKUP(Q78,datos!$AC$12:$AD$15,2,0))</f>
        <v>0.8</v>
      </c>
      <c r="S78" s="207" t="str">
        <f ca="1">_xlfn.IFERROR(INDIRECT("datos!"&amp;HLOOKUP(Q78,calculo_imp,2,FALSE)&amp;VLOOKUP(O78,calculo_prob,2,FALSE)),"")</f>
        <v>Alto</v>
      </c>
      <c r="T78" s="95">
        <v>1</v>
      </c>
      <c r="U78" s="83" t="s">
        <v>912</v>
      </c>
      <c r="V78" s="82" t="s">
        <v>913</v>
      </c>
      <c r="W78" s="82" t="s">
        <v>914</v>
      </c>
      <c r="X78" s="82" t="s">
        <v>915</v>
      </c>
      <c r="Y78" s="82" t="s">
        <v>916</v>
      </c>
      <c r="Z78" s="82" t="s">
        <v>917</v>
      </c>
      <c r="AA78" s="82" t="s">
        <v>918</v>
      </c>
      <c r="AB78" s="82" t="s">
        <v>919</v>
      </c>
      <c r="AC78" s="82" t="s">
        <v>920</v>
      </c>
      <c r="AD78" s="92" t="str">
        <f>IF(AE78="","",VLOOKUP(AE78,datos!$AT$6:$AU$9,2,0))</f>
        <v>Probabilidad</v>
      </c>
      <c r="AE78" s="83" t="s">
        <v>80</v>
      </c>
      <c r="AF78" s="83" t="s">
        <v>84</v>
      </c>
      <c r="AG78" s="86">
        <f>IF(AND(AE78="",AF78=""),"",IF(AE78="",0,VLOOKUP(AE78,datos!$AP$3:$AR$7,3,0))+IF(AF78="",0,VLOOKUP(AF78,datos!$AP$3:$AR$7,3,0)))</f>
        <v>0.4</v>
      </c>
      <c r="AH78" s="107" t="str">
        <f>IF(OR(AI78="",AI78=0),"",IF(AI78&lt;=datos!$AC$3,datos!$AE$3,IF(AI78&lt;=datos!$AC$4,datos!$AE$4,IF(AI78&lt;=datos!$AC$5,datos!$AE$5,IF(AI78&lt;=datos!$AC$6,datos!$AE$6,IF(AI78&lt;=datos!$AC$7,datos!$AE$7,""))))))</f>
        <v>Media</v>
      </c>
      <c r="AI78" s="108">
        <f>IF(AD78="","",IF(T78=1,IF(AD78="Probabilidad",P78-(P78*AG78),P78),IF(AD78="Probabilidad",#REF!-(#REF!*AG78),#REF!)))</f>
        <v>0.48</v>
      </c>
      <c r="AJ78" s="109" t="str">
        <f>+IF(AK78&lt;=datos!$AD$11,datos!$AC$11,IF(AK78&lt;=datos!$AD$12,datos!$AC$12,IF(AK78&lt;=datos!$AD$13,datos!$AC$13,IF(AK78&lt;=datos!$AD$14,datos!$AC$14,IF(AK78&lt;=datos!$AD$15,datos!$AC$15,"")))))</f>
        <v>Mayor</v>
      </c>
      <c r="AK78" s="108">
        <f>IF(AD78="","",IF(T78=1,IF(AD78="Impacto",R78-(R78*AG78),R78),IF(AD78="Impacto",#REF!-(#REF!*AG78),#REF!)))</f>
        <v>0.8</v>
      </c>
      <c r="AL78" s="109" t="str">
        <f ca="1" t="shared" si="9"/>
        <v>Alto</v>
      </c>
      <c r="AM78" s="254" t="s">
        <v>92</v>
      </c>
      <c r="AN78" s="197" t="s">
        <v>930</v>
      </c>
      <c r="AO78" s="199" t="s">
        <v>931</v>
      </c>
      <c r="AP78" s="186" t="s">
        <v>932</v>
      </c>
    </row>
    <row r="79" spans="1:42" ht="156.75" thickBot="1">
      <c r="A79" s="222"/>
      <c r="B79" s="224"/>
      <c r="C79" s="224"/>
      <c r="D79" s="228"/>
      <c r="E79" s="224"/>
      <c r="F79" s="224"/>
      <c r="G79" s="224"/>
      <c r="H79" s="224"/>
      <c r="I79" s="224"/>
      <c r="J79" s="224"/>
      <c r="K79" s="230"/>
      <c r="L79" s="232"/>
      <c r="M79" s="236"/>
      <c r="N79" s="234"/>
      <c r="O79" s="226"/>
      <c r="P79" s="210"/>
      <c r="Q79" s="212"/>
      <c r="R79" s="210" t="e">
        <f>IF(OR(#REF!=datos!$AB$10,#REF!=datos!$AB$16),"",VLOOKUP(#REF!,datos!$AA$10:$AC$21,3,0))</f>
        <v>#REF!</v>
      </c>
      <c r="S79" s="208"/>
      <c r="T79" s="96">
        <v>2</v>
      </c>
      <c r="U79" s="79" t="s">
        <v>921</v>
      </c>
      <c r="V79" s="78" t="s">
        <v>922</v>
      </c>
      <c r="W79" s="78" t="s">
        <v>923</v>
      </c>
      <c r="X79" s="78" t="s">
        <v>924</v>
      </c>
      <c r="Y79" s="78" t="s">
        <v>925</v>
      </c>
      <c r="Z79" s="78" t="s">
        <v>926</v>
      </c>
      <c r="AA79" s="78" t="s">
        <v>927</v>
      </c>
      <c r="AB79" s="78" t="s">
        <v>928</v>
      </c>
      <c r="AC79" s="78" t="s">
        <v>929</v>
      </c>
      <c r="AD79" s="91" t="str">
        <f>IF(AE79="","",VLOOKUP(AE79,datos!$AT$6:$AU$9,2,0))</f>
        <v>Probabilidad</v>
      </c>
      <c r="AE79" s="79" t="s">
        <v>80</v>
      </c>
      <c r="AF79" s="79" t="s">
        <v>84</v>
      </c>
      <c r="AG79" s="87">
        <f>IF(AND(AE79="",AF79=""),"",IF(AE79="",0,VLOOKUP(AE79,datos!$AP$3:$AR$7,3,0))+IF(AF79="",0,VLOOKUP(AF79,datos!$AP$3:$AR$7,3,0)))</f>
        <v>0.4</v>
      </c>
      <c r="AH79" s="110" t="str">
        <f>IF(OR(AI79="",AI79=0),"",IF(AI79&lt;=datos!$AC$3,datos!$AE$3,IF(AI79&lt;=datos!$AC$4,datos!$AE$4,IF(AI79&lt;=datos!$AC$5,datos!$AE$5,IF(AI79&lt;=datos!$AC$6,datos!$AE$6,IF(AI79&lt;=datos!$AC$7,datos!$AE$7,""))))))</f>
        <v>Baja</v>
      </c>
      <c r="AI79" s="111">
        <f t="shared" si="10"/>
        <v>0.288</v>
      </c>
      <c r="AJ79" s="112" t="str">
        <f>+IF(AK79&lt;=datos!$AD$11,datos!$AC$11,IF(AK79&lt;=datos!$AD$12,datos!$AC$12,IF(AK79&lt;=datos!$AD$13,datos!$AC$13,IF(AK79&lt;=datos!$AD$14,datos!$AC$14,IF(AK79&lt;=datos!$AD$15,datos!$AC$15,"")))))</f>
        <v>Mayor</v>
      </c>
      <c r="AK79" s="111">
        <f t="shared" si="11"/>
        <v>0.8</v>
      </c>
      <c r="AL79" s="112" t="str">
        <f ca="1" t="shared" si="9"/>
        <v>Alto</v>
      </c>
      <c r="AM79" s="255"/>
      <c r="AN79" s="198"/>
      <c r="AO79" s="200"/>
      <c r="AP79" s="187"/>
    </row>
    <row r="80" spans="1:42" ht="72">
      <c r="A80" s="221">
        <v>37</v>
      </c>
      <c r="B80" s="223" t="s">
        <v>39</v>
      </c>
      <c r="C80" s="223" t="s">
        <v>250</v>
      </c>
      <c r="D80" s="227" t="str">
        <f>_xlfn.IFERROR(VLOOKUP(B80,datos!$B$1:$C$21,2,0),"")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0" s="223" t="s">
        <v>55</v>
      </c>
      <c r="F80" s="223" t="s">
        <v>933</v>
      </c>
      <c r="G80" s="223" t="s">
        <v>934</v>
      </c>
      <c r="H80" s="223" t="s">
        <v>233</v>
      </c>
      <c r="I80" s="223" t="s">
        <v>935</v>
      </c>
      <c r="J80" s="223" t="s">
        <v>936</v>
      </c>
      <c r="K80" s="229" t="s">
        <v>184</v>
      </c>
      <c r="L80" s="231" t="s">
        <v>197</v>
      </c>
      <c r="M80" s="235" t="s">
        <v>12</v>
      </c>
      <c r="N80" s="233">
        <v>2</v>
      </c>
      <c r="O80" s="225" t="str">
        <f>_xlfn.IFERROR(VLOOKUP(P80,datos!$AC$2:$AE$7,3,0),"")</f>
        <v>Muy Baja</v>
      </c>
      <c r="P80" s="209">
        <f>+IF(OR(N80="",N80=0),"",IF(N80&lt;=datos!$AD$3,datos!$AC$3,IF(AND(N80&gt;datos!$AD$3,N80&lt;=datos!$AD$4),datos!$AC$4,IF(AND(N80&gt;datos!$AD$4,N80&lt;=datos!$AD$5),datos!$AC$5,IF(AND(N80&gt;datos!$AD$5,N80&lt;=datos!$AD$6),datos!$AC$6,IF(N80&gt;datos!$AD$7,datos!$AC$7,0))))))</f>
        <v>0.2</v>
      </c>
      <c r="Q80" s="211" t="str">
        <f>+HLOOKUP(A80,'Impacto Riesgo de Corrupción'!$D$8:$AQ$29,22,0)</f>
        <v>Mayor</v>
      </c>
      <c r="R80" s="209">
        <f>+IF(Q80="","",VLOOKUP(Q80,datos!$AC$12:$AD$15,2,0))</f>
        <v>0.8</v>
      </c>
      <c r="S80" s="207" t="str">
        <f ca="1">_xlfn.IFERROR(INDIRECT("datos!"&amp;HLOOKUP(Q80,calculo_imp,2,FALSE)&amp;VLOOKUP(O80,calculo_prob,2,FALSE)),"")</f>
        <v>Alto</v>
      </c>
      <c r="T80" s="95">
        <v>1</v>
      </c>
      <c r="U80" s="83" t="s">
        <v>946</v>
      </c>
      <c r="V80" s="82" t="s">
        <v>947</v>
      </c>
      <c r="W80" s="82" t="s">
        <v>948</v>
      </c>
      <c r="X80" s="82" t="s">
        <v>949</v>
      </c>
      <c r="Y80" s="82" t="s">
        <v>950</v>
      </c>
      <c r="Z80" s="82" t="s">
        <v>951</v>
      </c>
      <c r="AA80" s="82" t="s">
        <v>952</v>
      </c>
      <c r="AB80" s="82" t="s">
        <v>952</v>
      </c>
      <c r="AC80" s="82" t="s">
        <v>953</v>
      </c>
      <c r="AD80" s="92" t="str">
        <f>IF(AE80="","",VLOOKUP(AE80,datos!$AT$6:$AU$9,2,0))</f>
        <v>Probabilidad</v>
      </c>
      <c r="AE80" s="83" t="s">
        <v>80</v>
      </c>
      <c r="AF80" s="83" t="s">
        <v>84</v>
      </c>
      <c r="AG80" s="86">
        <f>IF(AND(AE80="",AF80=""),"",IF(AE80="",0,VLOOKUP(AE80,datos!$AP$3:$AR$7,3,0))+IF(AF80="",0,VLOOKUP(AF80,datos!$AP$3:$AR$7,3,0)))</f>
        <v>0.4</v>
      </c>
      <c r="AH80" s="107" t="str">
        <f>IF(OR(AI80="",AI80=0),"",IF(AI80&lt;=datos!$AC$3,datos!$AE$3,IF(AI80&lt;=datos!$AC$4,datos!$AE$4,IF(AI80&lt;=datos!$AC$5,datos!$AE$5,IF(AI80&lt;=datos!$AC$6,datos!$AE$6,IF(AI80&lt;=datos!$AC$7,datos!$AE$7,""))))))</f>
        <v>Muy Baja</v>
      </c>
      <c r="AI80" s="108">
        <f>IF(AD80="","",IF(T80=1,IF(AD80="Probabilidad",P80-(P80*AG80),P80),IF(AD80="Probabilidad",#REF!-(#REF!*AG80),#REF!)))</f>
        <v>0.12</v>
      </c>
      <c r="AJ80" s="109" t="str">
        <f>+IF(AK80&lt;=datos!$AD$11,datos!$AC$11,IF(AK80&lt;=datos!$AD$12,datos!$AC$12,IF(AK80&lt;=datos!$AD$13,datos!$AC$13,IF(AK80&lt;=datos!$AD$14,datos!$AC$14,IF(AK80&lt;=datos!$AD$15,datos!$AC$15,"")))))</f>
        <v>Mayor</v>
      </c>
      <c r="AK80" s="108">
        <f>IF(AD80="","",IF(T80=1,IF(AD80="Impacto",R80-(R80*AG80),R80),IF(AD80="Impacto",#REF!-(#REF!*AG80),#REF!)))</f>
        <v>0.8</v>
      </c>
      <c r="AL80" s="109" t="str">
        <f ca="1" t="shared" si="9"/>
        <v>Alto</v>
      </c>
      <c r="AM80" s="254" t="s">
        <v>92</v>
      </c>
      <c r="AN80" s="197" t="s">
        <v>982</v>
      </c>
      <c r="AO80" s="199">
        <v>45292</v>
      </c>
      <c r="AP80" s="186" t="s">
        <v>983</v>
      </c>
    </row>
    <row r="81" spans="1:42" ht="48.75" thickBot="1">
      <c r="A81" s="222"/>
      <c r="B81" s="224"/>
      <c r="C81" s="224"/>
      <c r="D81" s="228"/>
      <c r="E81" s="224"/>
      <c r="F81" s="224"/>
      <c r="G81" s="224"/>
      <c r="H81" s="224"/>
      <c r="I81" s="224"/>
      <c r="J81" s="224"/>
      <c r="K81" s="230"/>
      <c r="L81" s="232"/>
      <c r="M81" s="236"/>
      <c r="N81" s="234"/>
      <c r="O81" s="226"/>
      <c r="P81" s="210"/>
      <c r="Q81" s="212"/>
      <c r="R81" s="210" t="e">
        <f>IF(OR(#REF!=datos!$AB$10,#REF!=datos!$AB$16),"",VLOOKUP(#REF!,datos!$AA$10:$AC$21,3,0))</f>
        <v>#REF!</v>
      </c>
      <c r="S81" s="208"/>
      <c r="T81" s="96">
        <v>2</v>
      </c>
      <c r="U81" s="79" t="s">
        <v>954</v>
      </c>
      <c r="V81" s="78" t="s">
        <v>955</v>
      </c>
      <c r="W81" s="78" t="s">
        <v>948</v>
      </c>
      <c r="X81" s="78" t="s">
        <v>949</v>
      </c>
      <c r="Y81" s="78" t="s">
        <v>956</v>
      </c>
      <c r="Z81" s="78" t="s">
        <v>957</v>
      </c>
      <c r="AA81" s="78" t="s">
        <v>952</v>
      </c>
      <c r="AB81" s="78" t="s">
        <v>958</v>
      </c>
      <c r="AC81" s="78" t="s">
        <v>953</v>
      </c>
      <c r="AD81" s="91" t="str">
        <f>IF(AE81="","",VLOOKUP(AE81,datos!$AT$6:$AU$9,2,0))</f>
        <v>Probabilidad</v>
      </c>
      <c r="AE81" s="79" t="s">
        <v>80</v>
      </c>
      <c r="AF81" s="79" t="s">
        <v>84</v>
      </c>
      <c r="AG81" s="87">
        <f>IF(AND(AE81="",AF81=""),"",IF(AE81="",0,VLOOKUP(AE81,datos!$AP$3:$AR$7,3,0))+IF(AF81="",0,VLOOKUP(AF81,datos!$AP$3:$AR$7,3,0)))</f>
        <v>0.4</v>
      </c>
      <c r="AH81" s="110" t="str">
        <f>IF(OR(AI81="",AI81=0),"",IF(AI81&lt;=datos!$AC$3,datos!$AE$3,IF(AI81&lt;=datos!$AC$4,datos!$AE$4,IF(AI81&lt;=datos!$AC$5,datos!$AE$5,IF(AI81&lt;=datos!$AC$6,datos!$AE$6,IF(AI81&lt;=datos!$AC$7,datos!$AE$7,""))))))</f>
        <v>Muy Baja</v>
      </c>
      <c r="AI81" s="111">
        <f t="shared" si="10"/>
        <v>0.072</v>
      </c>
      <c r="AJ81" s="112" t="str">
        <f>+IF(AK81&lt;=datos!$AD$11,datos!$AC$11,IF(AK81&lt;=datos!$AD$12,datos!$AC$12,IF(AK81&lt;=datos!$AD$13,datos!$AC$13,IF(AK81&lt;=datos!$AD$14,datos!$AC$14,IF(AK81&lt;=datos!$AD$15,datos!$AC$15,"")))))</f>
        <v>Mayor</v>
      </c>
      <c r="AK81" s="111">
        <f t="shared" si="11"/>
        <v>0.8</v>
      </c>
      <c r="AL81" s="112" t="str">
        <f ca="1" t="shared" si="9"/>
        <v>Alto</v>
      </c>
      <c r="AM81" s="255"/>
      <c r="AN81" s="198"/>
      <c r="AO81" s="200"/>
      <c r="AP81" s="187"/>
    </row>
    <row r="82" spans="1:42" ht="144.75" thickBot="1">
      <c r="A82" s="145">
        <v>38</v>
      </c>
      <c r="B82" s="83" t="s">
        <v>39</v>
      </c>
      <c r="C82" s="83" t="s">
        <v>250</v>
      </c>
      <c r="D82" s="92" t="str">
        <f>_xlfn.IFERROR(VLOOKUP(B82,datos!$B$1:$C$21,2,0),"")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2" s="83" t="s">
        <v>55</v>
      </c>
      <c r="F82" s="83" t="s">
        <v>937</v>
      </c>
      <c r="G82" s="83" t="s">
        <v>937</v>
      </c>
      <c r="H82" s="83" t="s">
        <v>233</v>
      </c>
      <c r="I82" s="83"/>
      <c r="J82" s="83" t="s">
        <v>938</v>
      </c>
      <c r="K82" s="160" t="s">
        <v>184</v>
      </c>
      <c r="L82" s="148" t="s">
        <v>197</v>
      </c>
      <c r="M82" s="147" t="s">
        <v>12</v>
      </c>
      <c r="N82" s="149">
        <v>246</v>
      </c>
      <c r="O82" s="109" t="str">
        <f>_xlfn.IFERROR(VLOOKUP(P82,datos!$AC$2:$AE$7,3,0),"")</f>
        <v>Media</v>
      </c>
      <c r="P82" s="150">
        <f>+IF(OR(N82="",N82=0),"",IF(N82&lt;=datos!$AD$3,datos!$AC$3,IF(AND(N82&gt;datos!$AD$3,N82&lt;=datos!$AD$4),datos!$AC$4,IF(AND(N82&gt;datos!$AD$4,N82&lt;=datos!$AD$5),datos!$AC$5,IF(AND(N82&gt;datos!$AD$5,N82&lt;=datos!$AD$6),datos!$AC$6,IF(N82&gt;datos!$AD$7,datos!$AC$7,0))))))</f>
        <v>0.6</v>
      </c>
      <c r="Q82" s="159" t="str">
        <f>+HLOOKUP(A82,'Impacto Riesgo de Corrupción'!$D$8:$AQ$29,22,0)</f>
        <v>Mayor</v>
      </c>
      <c r="R82" s="150">
        <f>+IF(Q82="","",VLOOKUP(Q82,datos!$AC$12:$AD$15,2,0))</f>
        <v>0.8</v>
      </c>
      <c r="S82" s="158" t="str">
        <f ca="1">_xlfn.IFERROR(INDIRECT("datos!"&amp;HLOOKUP(Q82,calculo_imp,2,FALSE)&amp;VLOOKUP(O82,calculo_prob,2,FALSE)),"")</f>
        <v>Alto</v>
      </c>
      <c r="T82" s="95">
        <v>1</v>
      </c>
      <c r="U82" s="83" t="s">
        <v>959</v>
      </c>
      <c r="V82" s="82" t="s">
        <v>960</v>
      </c>
      <c r="W82" s="82" t="s">
        <v>961</v>
      </c>
      <c r="X82" s="82" t="s">
        <v>962</v>
      </c>
      <c r="Y82" s="82" t="s">
        <v>963</v>
      </c>
      <c r="Z82" s="82" t="s">
        <v>964</v>
      </c>
      <c r="AA82" s="82" t="s">
        <v>965</v>
      </c>
      <c r="AB82" s="82" t="s">
        <v>966</v>
      </c>
      <c r="AC82" s="82" t="s">
        <v>967</v>
      </c>
      <c r="AD82" s="92" t="str">
        <f>IF(AE82="","",VLOOKUP(AE82,datos!$AT$6:$AU$9,2,0))</f>
        <v>Probabilidad</v>
      </c>
      <c r="AE82" s="83" t="s">
        <v>80</v>
      </c>
      <c r="AF82" s="83" t="s">
        <v>84</v>
      </c>
      <c r="AG82" s="86">
        <f>IF(AND(AE82="",AF82=""),"",IF(AE82="",0,VLOOKUP(AE82,datos!$AP$3:$AR$7,3,0))+IF(AF82="",0,VLOOKUP(AF82,datos!$AP$3:$AR$7,3,0)))</f>
        <v>0.4</v>
      </c>
      <c r="AH82" s="107" t="str">
        <f>IF(OR(AI82="",AI82=0),"",IF(AI82&lt;=datos!$AC$3,datos!$AE$3,IF(AI82&lt;=datos!$AC$4,datos!$AE$4,IF(AI82&lt;=datos!$AC$5,datos!$AE$5,IF(AI82&lt;=datos!$AC$6,datos!$AE$6,IF(AI82&lt;=datos!$AC$7,datos!$AE$7,""))))))</f>
        <v>Baja</v>
      </c>
      <c r="AI82" s="108">
        <f>IF(AD82="","",IF(T82=1,IF(AD82="Probabilidad",P82-(P82*AG82),P82),IF(AD82="Probabilidad",#REF!-(#REF!*AG82),#REF!)))</f>
        <v>0.36</v>
      </c>
      <c r="AJ82" s="109" t="str">
        <f>+IF(AK82&lt;=datos!$AD$11,datos!$AC$11,IF(AK82&lt;=datos!$AD$12,datos!$AC$12,IF(AK82&lt;=datos!$AD$13,datos!$AC$13,IF(AK82&lt;=datos!$AD$14,datos!$AC$14,IF(AK82&lt;=datos!$AD$15,datos!$AC$15,"")))))</f>
        <v>Mayor</v>
      </c>
      <c r="AK82" s="108">
        <f>IF(AD82="","",IF(T82=1,IF(AD82="Impacto",R82-(R82*AG82),R82),IF(AD82="Impacto",#REF!-(#REF!*AG82),#REF!)))</f>
        <v>0.8</v>
      </c>
      <c r="AL82" s="109" t="str">
        <f ca="1" t="shared" si="9"/>
        <v>Alto</v>
      </c>
      <c r="AM82" s="152" t="s">
        <v>92</v>
      </c>
      <c r="AN82" s="140" t="s">
        <v>984</v>
      </c>
      <c r="AO82" s="142">
        <v>45536</v>
      </c>
      <c r="AP82" s="156" t="s">
        <v>985</v>
      </c>
    </row>
    <row r="83" spans="1:42" ht="144.75" thickBot="1">
      <c r="A83" s="145">
        <v>39</v>
      </c>
      <c r="B83" s="83" t="s">
        <v>39</v>
      </c>
      <c r="C83" s="83" t="s">
        <v>250</v>
      </c>
      <c r="D83" s="92" t="str">
        <f>_xlfn.IFERROR(VLOOKUP(B83,datos!$B$1:$C$21,2,0),"")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3" s="83" t="s">
        <v>55</v>
      </c>
      <c r="F83" s="83" t="s">
        <v>939</v>
      </c>
      <c r="G83" s="83" t="s">
        <v>940</v>
      </c>
      <c r="H83" s="83" t="s">
        <v>232</v>
      </c>
      <c r="I83" s="83" t="s">
        <v>941</v>
      </c>
      <c r="J83" s="83" t="s">
        <v>942</v>
      </c>
      <c r="K83" s="160" t="s">
        <v>184</v>
      </c>
      <c r="L83" s="148" t="s">
        <v>197</v>
      </c>
      <c r="M83" s="147" t="s">
        <v>274</v>
      </c>
      <c r="N83" s="149">
        <v>246</v>
      </c>
      <c r="O83" s="109" t="str">
        <f>_xlfn.IFERROR(VLOOKUP(P83,datos!$AC$2:$AE$7,3,0),"")</f>
        <v>Media</v>
      </c>
      <c r="P83" s="150">
        <f>+IF(OR(N83="",N83=0),"",IF(N83&lt;=datos!$AD$3,datos!$AC$3,IF(AND(N83&gt;datos!$AD$3,N83&lt;=datos!$AD$4),datos!$AC$4,IF(AND(N83&gt;datos!$AD$4,N83&lt;=datos!$AD$5),datos!$AC$5,IF(AND(N83&gt;datos!$AD$5,N83&lt;=datos!$AD$6),datos!$AC$6,IF(N83&gt;datos!$AD$7,datos!$AC$7,0))))))</f>
        <v>0.6</v>
      </c>
      <c r="Q83" s="159" t="str">
        <f>+HLOOKUP(A83,'Impacto Riesgo de Corrupción'!$D$8:$AQ$29,22,0)</f>
        <v>Mayor</v>
      </c>
      <c r="R83" s="150">
        <f>+IF(Q83="","",VLOOKUP(Q83,datos!$AC$12:$AD$15,2,0))</f>
        <v>0.8</v>
      </c>
      <c r="S83" s="158" t="str">
        <f ca="1">_xlfn.IFERROR(INDIRECT("datos!"&amp;HLOOKUP(Q83,calculo_imp,2,FALSE)&amp;VLOOKUP(O83,calculo_prob,2,FALSE)),"")</f>
        <v>Alto</v>
      </c>
      <c r="T83" s="95">
        <v>1</v>
      </c>
      <c r="U83" s="83" t="s">
        <v>968</v>
      </c>
      <c r="V83" s="82" t="s">
        <v>969</v>
      </c>
      <c r="W83" s="82" t="s">
        <v>970</v>
      </c>
      <c r="X83" s="82" t="s">
        <v>971</v>
      </c>
      <c r="Y83" s="82" t="s">
        <v>972</v>
      </c>
      <c r="Z83" s="82" t="s">
        <v>973</v>
      </c>
      <c r="AA83" s="82" t="s">
        <v>974</v>
      </c>
      <c r="AB83" s="82" t="s">
        <v>974</v>
      </c>
      <c r="AC83" s="82" t="s">
        <v>975</v>
      </c>
      <c r="AD83" s="92" t="str">
        <f>IF(AE83="","",VLOOKUP(AE83,datos!$AT$6:$AU$9,2,0))</f>
        <v>Probabilidad</v>
      </c>
      <c r="AE83" s="83" t="s">
        <v>80</v>
      </c>
      <c r="AF83" s="83" t="s">
        <v>84</v>
      </c>
      <c r="AG83" s="86">
        <f>IF(AND(AE83="",AF83=""),"",IF(AE83="",0,VLOOKUP(AE83,datos!$AP$3:$AR$7,3,0))+IF(AF83="",0,VLOOKUP(AF83,datos!$AP$3:$AR$7,3,0)))</f>
        <v>0.4</v>
      </c>
      <c r="AH83" s="107" t="str">
        <f>IF(OR(AI83="",AI83=0),"",IF(AI83&lt;=datos!$AC$3,datos!$AE$3,IF(AI83&lt;=datos!$AC$4,datos!$AE$4,IF(AI83&lt;=datos!$AC$5,datos!$AE$5,IF(AI83&lt;=datos!$AC$6,datos!$AE$6,IF(AI83&lt;=datos!$AC$7,datos!$AE$7,""))))))</f>
        <v>Baja</v>
      </c>
      <c r="AI83" s="108">
        <f>IF(AD83="","",IF(T83=1,IF(AD83="Probabilidad",P83-(P83*AG83),P83),IF(AD83="Probabilidad",#REF!-(#REF!*AG83),#REF!)))</f>
        <v>0.36</v>
      </c>
      <c r="AJ83" s="109" t="str">
        <f>+IF(AK83&lt;=datos!$AD$11,datos!$AC$11,IF(AK83&lt;=datos!$AD$12,datos!$AC$12,IF(AK83&lt;=datos!$AD$13,datos!$AC$13,IF(AK83&lt;=datos!$AD$14,datos!$AC$14,IF(AK83&lt;=datos!$AD$15,datos!$AC$15,"")))))</f>
        <v>Mayor</v>
      </c>
      <c r="AK83" s="108">
        <f>IF(AD83="","",IF(T83=1,IF(AD83="Impacto",R83-(R83*AG83),R83),IF(AD83="Impacto",#REF!-(#REF!*AG83),#REF!)))</f>
        <v>0.8</v>
      </c>
      <c r="AL83" s="109" t="str">
        <f ca="1" t="shared" si="9"/>
        <v>Alto</v>
      </c>
      <c r="AM83" s="152" t="s">
        <v>92</v>
      </c>
      <c r="AN83" s="140" t="s">
        <v>986</v>
      </c>
      <c r="AO83" s="142">
        <v>45444</v>
      </c>
      <c r="AP83" s="156" t="s">
        <v>987</v>
      </c>
    </row>
    <row r="84" spans="1:42" ht="144">
      <c r="A84" s="145">
        <v>40</v>
      </c>
      <c r="B84" s="83" t="s">
        <v>39</v>
      </c>
      <c r="C84" s="83" t="s">
        <v>250</v>
      </c>
      <c r="D84" s="92" t="str">
        <f>_xlfn.IFERROR(VLOOKUP(B84,datos!$B$1:$C$21,2,0),"")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4" s="83" t="s">
        <v>55</v>
      </c>
      <c r="F84" s="83" t="s">
        <v>943</v>
      </c>
      <c r="G84" s="83" t="s">
        <v>944</v>
      </c>
      <c r="H84" s="83" t="s">
        <v>232</v>
      </c>
      <c r="I84" s="83" t="s">
        <v>941</v>
      </c>
      <c r="J84" s="83" t="s">
        <v>945</v>
      </c>
      <c r="K84" s="160" t="s">
        <v>184</v>
      </c>
      <c r="L84" s="148" t="s">
        <v>197</v>
      </c>
      <c r="M84" s="147" t="s">
        <v>274</v>
      </c>
      <c r="N84" s="149">
        <v>246</v>
      </c>
      <c r="O84" s="109" t="str">
        <f>_xlfn.IFERROR(VLOOKUP(P84,datos!$AC$2:$AE$7,3,0),"")</f>
        <v>Media</v>
      </c>
      <c r="P84" s="150">
        <f>+IF(OR(N84="",N84=0),"",IF(N84&lt;=datos!$AD$3,datos!$AC$3,IF(AND(N84&gt;datos!$AD$3,N84&lt;=datos!$AD$4),datos!$AC$4,IF(AND(N84&gt;datos!$AD$4,N84&lt;=datos!$AD$5),datos!$AC$5,IF(AND(N84&gt;datos!$AD$5,N84&lt;=datos!$AD$6),datos!$AC$6,IF(N84&gt;datos!$AD$7,datos!$AC$7,0))))))</f>
        <v>0.6</v>
      </c>
      <c r="Q84" s="159" t="str">
        <f>+HLOOKUP(A84,'Impacto Riesgo de Corrupción'!$D$8:$AQ$29,22,0)</f>
        <v>Mayor</v>
      </c>
      <c r="R84" s="150">
        <f>+IF(Q84="","",VLOOKUP(Q84,datos!$AC$12:$AD$15,2,0))</f>
        <v>0.8</v>
      </c>
      <c r="S84" s="158" t="str">
        <f ca="1">_xlfn.IFERROR(INDIRECT("datos!"&amp;HLOOKUP(Q84,calculo_imp,2,FALSE)&amp;VLOOKUP(O84,calculo_prob,2,FALSE)),"")</f>
        <v>Alto</v>
      </c>
      <c r="T84" s="95">
        <v>1</v>
      </c>
      <c r="U84" s="83" t="s">
        <v>976</v>
      </c>
      <c r="V84" s="82" t="s">
        <v>969</v>
      </c>
      <c r="W84" s="82" t="s">
        <v>977</v>
      </c>
      <c r="X84" s="82" t="s">
        <v>978</v>
      </c>
      <c r="Y84" s="82" t="s">
        <v>979</v>
      </c>
      <c r="Z84" s="82" t="s">
        <v>980</v>
      </c>
      <c r="AA84" s="82" t="s">
        <v>981</v>
      </c>
      <c r="AB84" s="82" t="s">
        <v>981</v>
      </c>
      <c r="AC84" s="82" t="s">
        <v>975</v>
      </c>
      <c r="AD84" s="92" t="str">
        <f>IF(AE84="","",VLOOKUP(AE84,datos!$AT$6:$AU$9,2,0))</f>
        <v>Probabilidad</v>
      </c>
      <c r="AE84" s="83" t="s">
        <v>80</v>
      </c>
      <c r="AF84" s="83" t="s">
        <v>84</v>
      </c>
      <c r="AG84" s="86">
        <f>IF(AND(AE84="",AF84=""),"",IF(AE84="",0,VLOOKUP(AE84,datos!$AP$3:$AR$7,3,0))+IF(AF84="",0,VLOOKUP(AF84,datos!$AP$3:$AR$7,3,0)))</f>
        <v>0.4</v>
      </c>
      <c r="AH84" s="107" t="str">
        <f>IF(OR(AI84="",AI84=0),"",IF(AI84&lt;=datos!$AC$3,datos!$AE$3,IF(AI84&lt;=datos!$AC$4,datos!$AE$4,IF(AI84&lt;=datos!$AC$5,datos!$AE$5,IF(AI84&lt;=datos!$AC$6,datos!$AE$6,IF(AI84&lt;=datos!$AC$7,datos!$AE$7,""))))))</f>
        <v>Baja</v>
      </c>
      <c r="AI84" s="108">
        <f>IF(AD84="","",IF(T84=1,IF(AD84="Probabilidad",P84-(P84*AG84),P84),IF(AD84="Probabilidad",#REF!-(#REF!*AG84),#REF!)))</f>
        <v>0.36</v>
      </c>
      <c r="AJ84" s="109" t="str">
        <f>+IF(AK84&lt;=datos!$AD$11,datos!$AC$11,IF(AK84&lt;=datos!$AD$12,datos!$AC$12,IF(AK84&lt;=datos!$AD$13,datos!$AC$13,IF(AK84&lt;=datos!$AD$14,datos!$AC$14,IF(AK84&lt;=datos!$AD$15,datos!$AC$15,"")))))</f>
        <v>Mayor</v>
      </c>
      <c r="AK84" s="108">
        <f>IF(AD84="","",IF(T84=1,IF(AD84="Impacto",R84-(R84*AG84),R84),IF(AD84="Impacto",#REF!-(#REF!*AG84),#REF!)))</f>
        <v>0.8</v>
      </c>
      <c r="AL84" s="109" t="str">
        <f ca="1" t="shared" si="9"/>
        <v>Alto</v>
      </c>
      <c r="AM84" s="152" t="s">
        <v>92</v>
      </c>
      <c r="AN84" s="140" t="s">
        <v>986</v>
      </c>
      <c r="AO84" s="142">
        <v>45444</v>
      </c>
      <c r="AP84" s="156" t="s">
        <v>987</v>
      </c>
    </row>
    <row r="87" spans="1:5" ht="15">
      <c r="A87" s="279" t="s">
        <v>223</v>
      </c>
      <c r="B87" s="279"/>
      <c r="C87" s="279"/>
      <c r="D87" s="279"/>
      <c r="E87" s="279"/>
    </row>
    <row r="88" spans="1:5" ht="15">
      <c r="A88" s="101" t="s">
        <v>216</v>
      </c>
      <c r="B88" s="100" t="s">
        <v>217</v>
      </c>
      <c r="C88" s="279" t="s">
        <v>218</v>
      </c>
      <c r="D88" s="279"/>
      <c r="E88" s="279"/>
    </row>
    <row r="89" spans="1:5" ht="15">
      <c r="A89" s="276">
        <v>1</v>
      </c>
      <c r="B89" s="277" t="s">
        <v>988</v>
      </c>
      <c r="C89" s="278" t="s">
        <v>989</v>
      </c>
      <c r="D89" s="278"/>
      <c r="E89" s="278"/>
    </row>
    <row r="90" spans="1:5" ht="15">
      <c r="A90" s="276"/>
      <c r="B90" s="277"/>
      <c r="C90" s="278"/>
      <c r="D90" s="278"/>
      <c r="E90" s="278"/>
    </row>
    <row r="91" spans="1:5" ht="15">
      <c r="A91" s="276">
        <v>2</v>
      </c>
      <c r="B91" s="277" t="s">
        <v>990</v>
      </c>
      <c r="C91" s="278" t="s">
        <v>991</v>
      </c>
      <c r="D91" s="278"/>
      <c r="E91" s="278"/>
    </row>
    <row r="92" spans="1:5" ht="15">
      <c r="A92" s="276"/>
      <c r="B92" s="277"/>
      <c r="C92" s="278"/>
      <c r="D92" s="278"/>
      <c r="E92" s="278"/>
    </row>
    <row r="93" spans="1:5" ht="15">
      <c r="A93" s="276">
        <v>3</v>
      </c>
      <c r="B93" s="277" t="s">
        <v>992</v>
      </c>
      <c r="C93" s="278" t="s">
        <v>994</v>
      </c>
      <c r="D93" s="278"/>
      <c r="E93" s="278"/>
    </row>
    <row r="94" spans="1:5" ht="15">
      <c r="A94" s="276"/>
      <c r="B94" s="277"/>
      <c r="C94" s="278"/>
      <c r="D94" s="278"/>
      <c r="E94" s="278"/>
    </row>
    <row r="95" spans="1:5" ht="15">
      <c r="A95" s="276">
        <v>4</v>
      </c>
      <c r="B95" s="277" t="s">
        <v>993</v>
      </c>
      <c r="C95" s="278" t="s">
        <v>994</v>
      </c>
      <c r="D95" s="278"/>
      <c r="E95" s="278"/>
    </row>
    <row r="96" spans="1:5" ht="15">
      <c r="A96" s="276"/>
      <c r="B96" s="277"/>
      <c r="C96" s="278"/>
      <c r="D96" s="278"/>
      <c r="E96" s="278"/>
    </row>
  </sheetData>
  <sheetProtection password="D570" sheet="1" formatCells="0" formatColumns="0" formatRows="0" insertColumns="0" insertRows="0" insertHyperlinks="0" deleteColumns="0" deleteRows="0" sort="0" autoFilter="0" pivotTables="0"/>
  <mergeCells count="543">
    <mergeCell ref="A95:A96"/>
    <mergeCell ref="B95:B96"/>
    <mergeCell ref="C95:E96"/>
    <mergeCell ref="A87:E87"/>
    <mergeCell ref="C88:E88"/>
    <mergeCell ref="A89:A90"/>
    <mergeCell ref="B89:B90"/>
    <mergeCell ref="C89:E90"/>
    <mergeCell ref="A91:A92"/>
    <mergeCell ref="B91:B92"/>
    <mergeCell ref="Q80:Q81"/>
    <mergeCell ref="R80:R81"/>
    <mergeCell ref="S80:S81"/>
    <mergeCell ref="A93:A94"/>
    <mergeCell ref="B93:B94"/>
    <mergeCell ref="C93:E94"/>
    <mergeCell ref="C91:E92"/>
    <mergeCell ref="I80:I81"/>
    <mergeCell ref="J80:J81"/>
    <mergeCell ref="K80:K81"/>
    <mergeCell ref="L80:L81"/>
    <mergeCell ref="M80:M81"/>
    <mergeCell ref="N80:N81"/>
    <mergeCell ref="AP80:AP81"/>
    <mergeCell ref="AP78:AP79"/>
    <mergeCell ref="A80:A81"/>
    <mergeCell ref="B80:B81"/>
    <mergeCell ref="C80:C81"/>
    <mergeCell ref="D80:D81"/>
    <mergeCell ref="E80:E81"/>
    <mergeCell ref="F80:F81"/>
    <mergeCell ref="G80:G81"/>
    <mergeCell ref="H80:H81"/>
    <mergeCell ref="AO78:AO79"/>
    <mergeCell ref="N78:N79"/>
    <mergeCell ref="O78:O79"/>
    <mergeCell ref="P78:P79"/>
    <mergeCell ref="Q78:Q79"/>
    <mergeCell ref="AM80:AM81"/>
    <mergeCell ref="AN80:AN81"/>
    <mergeCell ref="AO80:AO81"/>
    <mergeCell ref="O80:O81"/>
    <mergeCell ref="P80:P81"/>
    <mergeCell ref="M78:M79"/>
    <mergeCell ref="AP74:AP76"/>
    <mergeCell ref="S74:S76"/>
    <mergeCell ref="AM74:AM76"/>
    <mergeCell ref="AN74:AN76"/>
    <mergeCell ref="AO74:AO76"/>
    <mergeCell ref="R78:R79"/>
    <mergeCell ref="S78:S79"/>
    <mergeCell ref="AM78:AM79"/>
    <mergeCell ref="AN78:AN79"/>
    <mergeCell ref="G78:G79"/>
    <mergeCell ref="H78:H79"/>
    <mergeCell ref="I78:I79"/>
    <mergeCell ref="J78:J79"/>
    <mergeCell ref="K78:K79"/>
    <mergeCell ref="L78:L79"/>
    <mergeCell ref="A78:A79"/>
    <mergeCell ref="B78:B79"/>
    <mergeCell ref="C78:C79"/>
    <mergeCell ref="D78:D79"/>
    <mergeCell ref="E78:E79"/>
    <mergeCell ref="F78:F79"/>
    <mergeCell ref="M74:M76"/>
    <mergeCell ref="N74:N76"/>
    <mergeCell ref="O74:O76"/>
    <mergeCell ref="P74:P76"/>
    <mergeCell ref="Q74:Q76"/>
    <mergeCell ref="R74:R76"/>
    <mergeCell ref="G74:G76"/>
    <mergeCell ref="H74:H76"/>
    <mergeCell ref="I74:I76"/>
    <mergeCell ref="J74:J76"/>
    <mergeCell ref="K74:K76"/>
    <mergeCell ref="L74:L76"/>
    <mergeCell ref="AM72:AM73"/>
    <mergeCell ref="AN72:AN73"/>
    <mergeCell ref="AO72:AO73"/>
    <mergeCell ref="AP72:AP73"/>
    <mergeCell ref="A74:A76"/>
    <mergeCell ref="B74:B76"/>
    <mergeCell ref="C74:C76"/>
    <mergeCell ref="D74:D76"/>
    <mergeCell ref="E74:E76"/>
    <mergeCell ref="F74:F76"/>
    <mergeCell ref="N72:N73"/>
    <mergeCell ref="O72:O73"/>
    <mergeCell ref="P72:P73"/>
    <mergeCell ref="Q72:Q73"/>
    <mergeCell ref="R72:R73"/>
    <mergeCell ref="S72:S73"/>
    <mergeCell ref="H72:H73"/>
    <mergeCell ref="I72:I73"/>
    <mergeCell ref="J72:J73"/>
    <mergeCell ref="K72:K73"/>
    <mergeCell ref="L72:L73"/>
    <mergeCell ref="M72:M73"/>
    <mergeCell ref="AN65:AN66"/>
    <mergeCell ref="AO65:AO66"/>
    <mergeCell ref="AP65:AP66"/>
    <mergeCell ref="A72:A73"/>
    <mergeCell ref="B72:B73"/>
    <mergeCell ref="C72:C73"/>
    <mergeCell ref="D72:D73"/>
    <mergeCell ref="E72:E73"/>
    <mergeCell ref="F72:F73"/>
    <mergeCell ref="G72:G73"/>
    <mergeCell ref="O65:O66"/>
    <mergeCell ref="P65:P66"/>
    <mergeCell ref="Q65:Q66"/>
    <mergeCell ref="R65:R66"/>
    <mergeCell ref="S65:S66"/>
    <mergeCell ref="AM65:AM66"/>
    <mergeCell ref="I65:I66"/>
    <mergeCell ref="J65:J66"/>
    <mergeCell ref="K65:K66"/>
    <mergeCell ref="L65:L66"/>
    <mergeCell ref="M65:M66"/>
    <mergeCell ref="N65:N66"/>
    <mergeCell ref="Q61:Q62"/>
    <mergeCell ref="S61:S62"/>
    <mergeCell ref="A65:A66"/>
    <mergeCell ref="B65:B66"/>
    <mergeCell ref="C65:C66"/>
    <mergeCell ref="D65:D66"/>
    <mergeCell ref="E65:E66"/>
    <mergeCell ref="F65:F66"/>
    <mergeCell ref="G65:G66"/>
    <mergeCell ref="H65:H66"/>
    <mergeCell ref="S51:S55"/>
    <mergeCell ref="AM51:AM55"/>
    <mergeCell ref="AP61:AP62"/>
    <mergeCell ref="J61:J62"/>
    <mergeCell ref="K61:K62"/>
    <mergeCell ref="L61:L62"/>
    <mergeCell ref="M61:M62"/>
    <mergeCell ref="N61:N62"/>
    <mergeCell ref="O61:O62"/>
    <mergeCell ref="P61:P62"/>
    <mergeCell ref="P56:P60"/>
    <mergeCell ref="Q56:Q60"/>
    <mergeCell ref="R56:R60"/>
    <mergeCell ref="S56:S60"/>
    <mergeCell ref="AM56:AM60"/>
    <mergeCell ref="AN56:AN60"/>
    <mergeCell ref="F56:F60"/>
    <mergeCell ref="G56:G60"/>
    <mergeCell ref="H56:H60"/>
    <mergeCell ref="I56:I60"/>
    <mergeCell ref="J56:J60"/>
    <mergeCell ref="K56:K60"/>
    <mergeCell ref="AM61:AM62"/>
    <mergeCell ref="AN61:AN62"/>
    <mergeCell ref="AO61:AO62"/>
    <mergeCell ref="AP51:AP55"/>
    <mergeCell ref="A56:A60"/>
    <mergeCell ref="B56:B60"/>
    <mergeCell ref="C56:C60"/>
    <mergeCell ref="D56:D60"/>
    <mergeCell ref="E56:E60"/>
    <mergeCell ref="R61:R62"/>
    <mergeCell ref="A61:A62"/>
    <mergeCell ref="B61:B62"/>
    <mergeCell ref="C61:C62"/>
    <mergeCell ref="D61:D62"/>
    <mergeCell ref="E61:E62"/>
    <mergeCell ref="F61:F62"/>
    <mergeCell ref="G61:G62"/>
    <mergeCell ref="H61:H62"/>
    <mergeCell ref="I61:I62"/>
    <mergeCell ref="M51:M55"/>
    <mergeCell ref="N51:N55"/>
    <mergeCell ref="O51:O55"/>
    <mergeCell ref="L56:L60"/>
    <mergeCell ref="M56:M60"/>
    <mergeCell ref="N56:N60"/>
    <mergeCell ref="O56:O60"/>
    <mergeCell ref="P51:P55"/>
    <mergeCell ref="Q51:Q55"/>
    <mergeCell ref="R51:R55"/>
    <mergeCell ref="G51:G55"/>
    <mergeCell ref="H51:H55"/>
    <mergeCell ref="I51:I55"/>
    <mergeCell ref="J51:J55"/>
    <mergeCell ref="K51:K55"/>
    <mergeCell ref="L51:L55"/>
    <mergeCell ref="A51:A55"/>
    <mergeCell ref="B51:B55"/>
    <mergeCell ref="C51:C55"/>
    <mergeCell ref="D51:D55"/>
    <mergeCell ref="E51:E55"/>
    <mergeCell ref="F51:F55"/>
    <mergeCell ref="AM49:AM50"/>
    <mergeCell ref="AN49:AN50"/>
    <mergeCell ref="AO56:AO60"/>
    <mergeCell ref="AP56:AP60"/>
    <mergeCell ref="AO49:AO50"/>
    <mergeCell ref="AP49:AP50"/>
    <mergeCell ref="AN51:AN55"/>
    <mergeCell ref="AO51:AO55"/>
    <mergeCell ref="N49:N50"/>
    <mergeCell ref="O49:O50"/>
    <mergeCell ref="P49:P50"/>
    <mergeCell ref="Q49:Q50"/>
    <mergeCell ref="R49:R50"/>
    <mergeCell ref="S49:S50"/>
    <mergeCell ref="H49:H50"/>
    <mergeCell ref="I49:I50"/>
    <mergeCell ref="J49:J50"/>
    <mergeCell ref="K49:K50"/>
    <mergeCell ref="L49:L50"/>
    <mergeCell ref="M49:M50"/>
    <mergeCell ref="AN47:AN48"/>
    <mergeCell ref="AO47:AO48"/>
    <mergeCell ref="AP47:AP48"/>
    <mergeCell ref="A49:A50"/>
    <mergeCell ref="B49:B50"/>
    <mergeCell ref="C49:C50"/>
    <mergeCell ref="D49:D50"/>
    <mergeCell ref="E49:E50"/>
    <mergeCell ref="F49:F50"/>
    <mergeCell ref="G49:G50"/>
    <mergeCell ref="O47:O48"/>
    <mergeCell ref="P47:P48"/>
    <mergeCell ref="Q47:Q48"/>
    <mergeCell ref="R47:R48"/>
    <mergeCell ref="S47:S48"/>
    <mergeCell ref="AM47:AM48"/>
    <mergeCell ref="I47:I48"/>
    <mergeCell ref="J47:J48"/>
    <mergeCell ref="K47:K48"/>
    <mergeCell ref="L47:L48"/>
    <mergeCell ref="M47:M48"/>
    <mergeCell ref="N47:N48"/>
    <mergeCell ref="AO39:AO40"/>
    <mergeCell ref="R42:R45"/>
    <mergeCell ref="A47:A48"/>
    <mergeCell ref="B47:B48"/>
    <mergeCell ref="C47:C48"/>
    <mergeCell ref="D47:D48"/>
    <mergeCell ref="E47:E48"/>
    <mergeCell ref="F47:F48"/>
    <mergeCell ref="G47:G48"/>
    <mergeCell ref="H47:H48"/>
    <mergeCell ref="M42:M45"/>
    <mergeCell ref="N42:N45"/>
    <mergeCell ref="O42:O45"/>
    <mergeCell ref="P42:P45"/>
    <mergeCell ref="Q42:Q45"/>
    <mergeCell ref="AN39:AN40"/>
    <mergeCell ref="S39:S40"/>
    <mergeCell ref="AM39:AM40"/>
    <mergeCell ref="Q39:Q40"/>
    <mergeCell ref="R39:R40"/>
    <mergeCell ref="I42:I45"/>
    <mergeCell ref="AP39:AP40"/>
    <mergeCell ref="S42:S45"/>
    <mergeCell ref="AM42:AM45"/>
    <mergeCell ref="AN42:AN45"/>
    <mergeCell ref="AO42:AO45"/>
    <mergeCell ref="AP42:AP45"/>
    <mergeCell ref="J42:J45"/>
    <mergeCell ref="K42:K45"/>
    <mergeCell ref="L42:L45"/>
    <mergeCell ref="A42:A45"/>
    <mergeCell ref="B42:B45"/>
    <mergeCell ref="C42:C45"/>
    <mergeCell ref="D42:D45"/>
    <mergeCell ref="E42:E45"/>
    <mergeCell ref="F42:F45"/>
    <mergeCell ref="G42:G45"/>
    <mergeCell ref="H42:H45"/>
    <mergeCell ref="M39:M40"/>
    <mergeCell ref="N39:N40"/>
    <mergeCell ref="O39:O40"/>
    <mergeCell ref="P39:P40"/>
    <mergeCell ref="G39:G40"/>
    <mergeCell ref="H39:H40"/>
    <mergeCell ref="I39:I40"/>
    <mergeCell ref="J39:J40"/>
    <mergeCell ref="K39:K40"/>
    <mergeCell ref="L39:L40"/>
    <mergeCell ref="A39:A40"/>
    <mergeCell ref="B39:B40"/>
    <mergeCell ref="C39:C40"/>
    <mergeCell ref="D39:D40"/>
    <mergeCell ref="E39:E40"/>
    <mergeCell ref="F39:F40"/>
    <mergeCell ref="R36:R38"/>
    <mergeCell ref="S36:S38"/>
    <mergeCell ref="AM36:AM38"/>
    <mergeCell ref="AN36:AN38"/>
    <mergeCell ref="AO36:AO38"/>
    <mergeCell ref="AP36:AP38"/>
    <mergeCell ref="L36:L38"/>
    <mergeCell ref="M36:M38"/>
    <mergeCell ref="N36:N38"/>
    <mergeCell ref="O36:O38"/>
    <mergeCell ref="P36:P38"/>
    <mergeCell ref="Q36:Q38"/>
    <mergeCell ref="F36:F38"/>
    <mergeCell ref="G36:G38"/>
    <mergeCell ref="H36:H38"/>
    <mergeCell ref="I36:I38"/>
    <mergeCell ref="J36:J38"/>
    <mergeCell ref="K36:K38"/>
    <mergeCell ref="S34:S35"/>
    <mergeCell ref="AM34:AM35"/>
    <mergeCell ref="AN34:AN35"/>
    <mergeCell ref="AO34:AO35"/>
    <mergeCell ref="AP34:AP35"/>
    <mergeCell ref="A36:A38"/>
    <mergeCell ref="B36:B38"/>
    <mergeCell ref="C36:C38"/>
    <mergeCell ref="D36:D38"/>
    <mergeCell ref="E36:E38"/>
    <mergeCell ref="M34:M35"/>
    <mergeCell ref="N34:N35"/>
    <mergeCell ref="O34:O35"/>
    <mergeCell ref="P34:P35"/>
    <mergeCell ref="Q34:Q35"/>
    <mergeCell ref="R34:R35"/>
    <mergeCell ref="G34:G35"/>
    <mergeCell ref="H34:H35"/>
    <mergeCell ref="I34:I35"/>
    <mergeCell ref="J34:J35"/>
    <mergeCell ref="K34:K35"/>
    <mergeCell ref="L34:L35"/>
    <mergeCell ref="A34:A35"/>
    <mergeCell ref="B34:B35"/>
    <mergeCell ref="C34:C35"/>
    <mergeCell ref="D34:D35"/>
    <mergeCell ref="E34:E35"/>
    <mergeCell ref="F34:F35"/>
    <mergeCell ref="L28:L30"/>
    <mergeCell ref="M28:M30"/>
    <mergeCell ref="N28:N30"/>
    <mergeCell ref="O28:O30"/>
    <mergeCell ref="P28:P30"/>
    <mergeCell ref="Q28:Q30"/>
    <mergeCell ref="AO31:AO32"/>
    <mergeCell ref="AP31:AP32"/>
    <mergeCell ref="J31:J32"/>
    <mergeCell ref="K31:K32"/>
    <mergeCell ref="L31:L32"/>
    <mergeCell ref="M31:M32"/>
    <mergeCell ref="N31:N32"/>
    <mergeCell ref="O31:O32"/>
    <mergeCell ref="P31:P32"/>
    <mergeCell ref="Q31:Q32"/>
    <mergeCell ref="G28:G30"/>
    <mergeCell ref="H28:H30"/>
    <mergeCell ref="S28:S30"/>
    <mergeCell ref="AM28:AM30"/>
    <mergeCell ref="AN28:AN30"/>
    <mergeCell ref="S31:S32"/>
    <mergeCell ref="AM31:AM32"/>
    <mergeCell ref="AN31:AN32"/>
    <mergeCell ref="J28:J30"/>
    <mergeCell ref="K28:K30"/>
    <mergeCell ref="A28:A30"/>
    <mergeCell ref="B28:B30"/>
    <mergeCell ref="C28:C30"/>
    <mergeCell ref="D28:D30"/>
    <mergeCell ref="E28:E30"/>
    <mergeCell ref="F28:F30"/>
    <mergeCell ref="R31:R32"/>
    <mergeCell ref="A31:A32"/>
    <mergeCell ref="B31:B32"/>
    <mergeCell ref="C31:C32"/>
    <mergeCell ref="D31:D32"/>
    <mergeCell ref="E31:E32"/>
    <mergeCell ref="F31:F32"/>
    <mergeCell ref="G31:G32"/>
    <mergeCell ref="H31:H32"/>
    <mergeCell ref="I31:I32"/>
    <mergeCell ref="S25:S26"/>
    <mergeCell ref="R28:R30"/>
    <mergeCell ref="AN25:AN26"/>
    <mergeCell ref="AO28:AO30"/>
    <mergeCell ref="AP28:AP30"/>
    <mergeCell ref="AO25:AO26"/>
    <mergeCell ref="AP25:AP26"/>
    <mergeCell ref="M25:M26"/>
    <mergeCell ref="N25:N26"/>
    <mergeCell ref="O25:O26"/>
    <mergeCell ref="P25:P26"/>
    <mergeCell ref="Q25:Q26"/>
    <mergeCell ref="R25:R26"/>
    <mergeCell ref="AO21:AO23"/>
    <mergeCell ref="AP21:AP23"/>
    <mergeCell ref="A25:A26"/>
    <mergeCell ref="B25:B26"/>
    <mergeCell ref="C25:C26"/>
    <mergeCell ref="D25:D26"/>
    <mergeCell ref="E25:E26"/>
    <mergeCell ref="F25:F26"/>
    <mergeCell ref="G25:G26"/>
    <mergeCell ref="H25:H26"/>
    <mergeCell ref="P21:P23"/>
    <mergeCell ref="Q21:Q23"/>
    <mergeCell ref="R21:R23"/>
    <mergeCell ref="I28:I30"/>
    <mergeCell ref="AM21:AM23"/>
    <mergeCell ref="AN21:AN23"/>
    <mergeCell ref="I25:I26"/>
    <mergeCell ref="J25:J26"/>
    <mergeCell ref="K25:K26"/>
    <mergeCell ref="L25:L26"/>
    <mergeCell ref="H21:H23"/>
    <mergeCell ref="I21:I23"/>
    <mergeCell ref="J21:J23"/>
    <mergeCell ref="K21:K23"/>
    <mergeCell ref="L21:L23"/>
    <mergeCell ref="M21:M23"/>
    <mergeCell ref="AN18:AN20"/>
    <mergeCell ref="AO18:AO20"/>
    <mergeCell ref="AP18:AP20"/>
    <mergeCell ref="A21:A23"/>
    <mergeCell ref="B21:B23"/>
    <mergeCell ref="C21:C23"/>
    <mergeCell ref="D21:D23"/>
    <mergeCell ref="E21:E23"/>
    <mergeCell ref="F21:F23"/>
    <mergeCell ref="G21:G23"/>
    <mergeCell ref="M18:M20"/>
    <mergeCell ref="N18:N20"/>
    <mergeCell ref="O18:O20"/>
    <mergeCell ref="P18:P20"/>
    <mergeCell ref="Q18:Q20"/>
    <mergeCell ref="AM25:AM26"/>
    <mergeCell ref="S18:S20"/>
    <mergeCell ref="AM18:AM20"/>
    <mergeCell ref="N21:N23"/>
    <mergeCell ref="O21:O23"/>
    <mergeCell ref="G18:G20"/>
    <mergeCell ref="H18:H20"/>
    <mergeCell ref="I18:I20"/>
    <mergeCell ref="J18:J20"/>
    <mergeCell ref="K18:K20"/>
    <mergeCell ref="L18:L20"/>
    <mergeCell ref="AJ8:AJ9"/>
    <mergeCell ref="AK8:AK9"/>
    <mergeCell ref="S21:S23"/>
    <mergeCell ref="R18:R20"/>
    <mergeCell ref="A18:A20"/>
    <mergeCell ref="B18:B20"/>
    <mergeCell ref="C18:C20"/>
    <mergeCell ref="D18:D20"/>
    <mergeCell ref="E18:E20"/>
    <mergeCell ref="F18:F20"/>
    <mergeCell ref="A7:M7"/>
    <mergeCell ref="N8:N9"/>
    <mergeCell ref="H8:I8"/>
    <mergeCell ref="M8:M9"/>
    <mergeCell ref="R8:R9"/>
    <mergeCell ref="S14:S15"/>
    <mergeCell ref="F8:F9"/>
    <mergeCell ref="G8:G9"/>
    <mergeCell ref="J8:J9"/>
    <mergeCell ref="L8:L9"/>
    <mergeCell ref="AM11:AM13"/>
    <mergeCell ref="AM14:AM15"/>
    <mergeCell ref="R11:R13"/>
    <mergeCell ref="F11:F13"/>
    <mergeCell ref="G11:G13"/>
    <mergeCell ref="J11:J13"/>
    <mergeCell ref="L11:L13"/>
    <mergeCell ref="A8:A9"/>
    <mergeCell ref="B8:B9"/>
    <mergeCell ref="C8:C9"/>
    <mergeCell ref="D8:D9"/>
    <mergeCell ref="E8:E9"/>
    <mergeCell ref="O11:O13"/>
    <mergeCell ref="N11:N13"/>
    <mergeCell ref="K11:K13"/>
    <mergeCell ref="K8:K9"/>
    <mergeCell ref="A11:A13"/>
    <mergeCell ref="B11:B13"/>
    <mergeCell ref="C11:C13"/>
    <mergeCell ref="D11:D13"/>
    <mergeCell ref="E11:E13"/>
    <mergeCell ref="M11:M13"/>
    <mergeCell ref="H11:H13"/>
    <mergeCell ref="I11:I13"/>
    <mergeCell ref="H14:H15"/>
    <mergeCell ref="I14:I15"/>
    <mergeCell ref="Q14:Q15"/>
    <mergeCell ref="R14:R15"/>
    <mergeCell ref="J14:J15"/>
    <mergeCell ref="C1:AO1"/>
    <mergeCell ref="C2:AO2"/>
    <mergeCell ref="A4:AP4"/>
    <mergeCell ref="AM3:AO3"/>
    <mergeCell ref="AP1:AP3"/>
    <mergeCell ref="A1:B3"/>
    <mergeCell ref="C3:K3"/>
    <mergeCell ref="AG3:AL3"/>
    <mergeCell ref="L3:AF3"/>
    <mergeCell ref="L14:L15"/>
    <mergeCell ref="N14:N15"/>
    <mergeCell ref="M14:M15"/>
    <mergeCell ref="AN14:AN15"/>
    <mergeCell ref="AP14:AP15"/>
    <mergeCell ref="AO14:AO15"/>
    <mergeCell ref="A14:A15"/>
    <mergeCell ref="B14:B15"/>
    <mergeCell ref="C14:C15"/>
    <mergeCell ref="O14:O15"/>
    <mergeCell ref="P14:P15"/>
    <mergeCell ref="D14:D15"/>
    <mergeCell ref="E14:E15"/>
    <mergeCell ref="F14:F15"/>
    <mergeCell ref="G14:G15"/>
    <mergeCell ref="K14:K15"/>
    <mergeCell ref="AD8:AD9"/>
    <mergeCell ref="AE8:AG8"/>
    <mergeCell ref="AH8:AH9"/>
    <mergeCell ref="AI8:AI9"/>
    <mergeCell ref="V8:AB8"/>
    <mergeCell ref="AC8:AC9"/>
    <mergeCell ref="N7:S7"/>
    <mergeCell ref="T7:AG7"/>
    <mergeCell ref="AH7:AM7"/>
    <mergeCell ref="S8:S9"/>
    <mergeCell ref="S11:S13"/>
    <mergeCell ref="P11:P13"/>
    <mergeCell ref="Q11:Q13"/>
    <mergeCell ref="AL8:AL9"/>
    <mergeCell ref="AM8:AM9"/>
    <mergeCell ref="T8:T9"/>
    <mergeCell ref="P8:P9"/>
    <mergeCell ref="O8:O9"/>
    <mergeCell ref="Q8:Q9"/>
    <mergeCell ref="AP11:AP13"/>
    <mergeCell ref="AN7:AP7"/>
    <mergeCell ref="AO8:AO9"/>
    <mergeCell ref="AP8:AP9"/>
    <mergeCell ref="AN8:AN9"/>
    <mergeCell ref="AN11:AN13"/>
    <mergeCell ref="AO11:AO13"/>
  </mergeCells>
  <printOptions/>
  <pageMargins left="0.7" right="0.7" top="0.75" bottom="0.75" header="0.3" footer="0.3"/>
  <pageSetup orientation="portrait" r:id="rId4"/>
  <ignoredErrors>
    <ignoredError sqref="AD10 AD11:AD13 AD14:AD15 AD16 AD17" unlockedFormula="1"/>
  </ignoredErrors>
  <drawing r:id="rId3"/>
  <legacyDrawing r:id="rId2"/>
</worksheet>
</file>

<file path=xl/worksheets/sheet2.xml><?xml version="1.0" encoding="utf-8"?>
<worksheet xmlns="http://schemas.openxmlformats.org/spreadsheetml/2006/main" xmlns:r="http://schemas.openxmlformats.org/officeDocument/2006/relationships">
  <dimension ref="A1:AQ41"/>
  <sheetViews>
    <sheetView zoomScale="70" zoomScaleNormal="70" zoomScalePageLayoutView="0" workbookViewId="0" topLeftCell="A1">
      <selection activeCell="G33" sqref="G33"/>
    </sheetView>
  </sheetViews>
  <sheetFormatPr defaultColWidth="11.421875" defaultRowHeight="15"/>
  <cols>
    <col min="1" max="1" width="9.140625" style="94" customWidth="1"/>
    <col min="2" max="2" width="13.00390625" style="94" customWidth="1"/>
    <col min="3" max="3" width="81.28125" style="94" customWidth="1"/>
    <col min="4" max="4" width="11.7109375" style="94" customWidth="1"/>
    <col min="5" max="7" width="11.421875" style="94" customWidth="1"/>
    <col min="8" max="8" width="13.140625" style="94" customWidth="1"/>
    <col min="9" max="16384" width="11.421875" style="94" customWidth="1"/>
  </cols>
  <sheetData>
    <row r="1" spans="1:43" ht="75.75" customHeight="1">
      <c r="A1" s="283"/>
      <c r="B1" s="283"/>
      <c r="C1" s="287" t="s">
        <v>252</v>
      </c>
      <c r="D1" s="287"/>
      <c r="E1" s="287"/>
      <c r="F1" s="287"/>
      <c r="G1" s="287"/>
      <c r="H1" s="287"/>
      <c r="I1" s="287"/>
      <c r="J1" s="287"/>
      <c r="K1" s="287"/>
      <c r="L1" s="287"/>
      <c r="M1" s="287"/>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row>
    <row r="2" spans="1:43" ht="15">
      <c r="A2" s="283"/>
      <c r="B2" s="283"/>
      <c r="C2" s="288" t="s">
        <v>253</v>
      </c>
      <c r="D2" s="288"/>
      <c r="E2" s="288"/>
      <c r="F2" s="288"/>
      <c r="G2" s="288"/>
      <c r="H2" s="288"/>
      <c r="I2" s="288"/>
      <c r="J2" s="288"/>
      <c r="K2" s="288"/>
      <c r="L2" s="288"/>
      <c r="M2" s="288"/>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row>
    <row r="3" spans="1:43" ht="15">
      <c r="A3" s="283"/>
      <c r="B3" s="283"/>
      <c r="C3" s="97" t="s">
        <v>257</v>
      </c>
      <c r="D3" s="288" t="s">
        <v>254</v>
      </c>
      <c r="E3" s="288"/>
      <c r="F3" s="288"/>
      <c r="G3" s="288" t="s">
        <v>255</v>
      </c>
      <c r="H3" s="288"/>
      <c r="I3" s="288"/>
      <c r="J3" s="288"/>
      <c r="K3" s="288">
        <v>4</v>
      </c>
      <c r="L3" s="288"/>
      <c r="M3" s="288"/>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row>
    <row r="4" spans="1:43" ht="15">
      <c r="A4" s="284" t="s">
        <v>251</v>
      </c>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row>
    <row r="5" ht="15.75" thickBot="1"/>
    <row r="6" spans="3:43" ht="28.5" customHeight="1" thickBot="1">
      <c r="C6" s="285" t="s">
        <v>178</v>
      </c>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row>
    <row r="7" spans="3:43" ht="18.75" customHeight="1" thickBot="1">
      <c r="C7" s="123" t="s">
        <v>100</v>
      </c>
      <c r="D7" s="299" t="s">
        <v>230</v>
      </c>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0"/>
      <c r="AL7" s="300"/>
      <c r="AM7" s="300"/>
      <c r="AN7" s="300"/>
      <c r="AO7" s="300"/>
      <c r="AP7" s="300"/>
      <c r="AQ7" s="300"/>
    </row>
    <row r="8" spans="3:43" ht="43.5" customHeight="1" thickBot="1">
      <c r="C8" s="124" t="s">
        <v>234</v>
      </c>
      <c r="D8" s="125">
        <v>1</v>
      </c>
      <c r="E8" s="125">
        <v>2</v>
      </c>
      <c r="F8" s="125">
        <v>3</v>
      </c>
      <c r="G8" s="125">
        <v>4</v>
      </c>
      <c r="H8" s="125">
        <v>5</v>
      </c>
      <c r="I8" s="125">
        <v>6</v>
      </c>
      <c r="J8" s="125">
        <v>7</v>
      </c>
      <c r="K8" s="125">
        <v>8</v>
      </c>
      <c r="L8" s="125">
        <v>9</v>
      </c>
      <c r="M8" s="125">
        <v>10</v>
      </c>
      <c r="N8" s="125">
        <v>11</v>
      </c>
      <c r="O8" s="125">
        <v>12</v>
      </c>
      <c r="P8" s="125">
        <v>13</v>
      </c>
      <c r="Q8" s="125">
        <v>14</v>
      </c>
      <c r="R8" s="125">
        <v>15</v>
      </c>
      <c r="S8" s="125">
        <v>16</v>
      </c>
      <c r="T8" s="125">
        <v>17</v>
      </c>
      <c r="U8" s="125">
        <v>18</v>
      </c>
      <c r="V8" s="125">
        <v>19</v>
      </c>
      <c r="W8" s="125">
        <v>20</v>
      </c>
      <c r="X8" s="125">
        <v>21</v>
      </c>
      <c r="Y8" s="125">
        <v>22</v>
      </c>
      <c r="Z8" s="125">
        <v>23</v>
      </c>
      <c r="AA8" s="125">
        <v>24</v>
      </c>
      <c r="AB8" s="125">
        <v>25</v>
      </c>
      <c r="AC8" s="125">
        <v>26</v>
      </c>
      <c r="AD8" s="125">
        <v>27</v>
      </c>
      <c r="AE8" s="125">
        <v>28</v>
      </c>
      <c r="AF8" s="125">
        <v>29</v>
      </c>
      <c r="AG8" s="125">
        <v>30</v>
      </c>
      <c r="AH8" s="125">
        <v>31</v>
      </c>
      <c r="AI8" s="125">
        <v>32</v>
      </c>
      <c r="AJ8" s="125">
        <v>33</v>
      </c>
      <c r="AK8" s="125">
        <v>34</v>
      </c>
      <c r="AL8" s="125">
        <v>35</v>
      </c>
      <c r="AM8" s="125">
        <v>36</v>
      </c>
      <c r="AN8" s="125">
        <v>37</v>
      </c>
      <c r="AO8" s="125">
        <v>38</v>
      </c>
      <c r="AP8" s="125">
        <v>39</v>
      </c>
      <c r="AQ8" s="125">
        <v>40</v>
      </c>
    </row>
    <row r="9" spans="2:43" ht="16.5" thickBot="1">
      <c r="B9" s="120" t="s">
        <v>147</v>
      </c>
      <c r="C9" s="126" t="s">
        <v>148</v>
      </c>
      <c r="D9" s="127" t="s">
        <v>149</v>
      </c>
      <c r="E9" s="127" t="s">
        <v>149</v>
      </c>
      <c r="F9" s="127" t="s">
        <v>149</v>
      </c>
      <c r="G9" s="127" t="s">
        <v>149</v>
      </c>
      <c r="H9" s="127" t="s">
        <v>149</v>
      </c>
      <c r="I9" s="127" t="s">
        <v>149</v>
      </c>
      <c r="J9" s="127" t="s">
        <v>149</v>
      </c>
      <c r="K9" s="127" t="s">
        <v>149</v>
      </c>
      <c r="L9" s="127" t="s">
        <v>149</v>
      </c>
      <c r="M9" s="127" t="s">
        <v>149</v>
      </c>
      <c r="N9" s="127" t="s">
        <v>149</v>
      </c>
      <c r="O9" s="127" t="s">
        <v>149</v>
      </c>
      <c r="P9" s="127" t="s">
        <v>149</v>
      </c>
      <c r="Q9" s="127" t="s">
        <v>149</v>
      </c>
      <c r="R9" s="127" t="s">
        <v>149</v>
      </c>
      <c r="S9" s="127" t="s">
        <v>149</v>
      </c>
      <c r="T9" s="127" t="s">
        <v>149</v>
      </c>
      <c r="U9" s="127" t="s">
        <v>149</v>
      </c>
      <c r="V9" s="127" t="s">
        <v>149</v>
      </c>
      <c r="W9" s="127" t="s">
        <v>149</v>
      </c>
      <c r="X9" s="127" t="s">
        <v>149</v>
      </c>
      <c r="Y9" s="127" t="s">
        <v>149</v>
      </c>
      <c r="Z9" s="127" t="s">
        <v>149</v>
      </c>
      <c r="AA9" s="127" t="s">
        <v>149</v>
      </c>
      <c r="AB9" s="127" t="s">
        <v>149</v>
      </c>
      <c r="AC9" s="127" t="s">
        <v>149</v>
      </c>
      <c r="AD9" s="127" t="s">
        <v>149</v>
      </c>
      <c r="AE9" s="127" t="s">
        <v>149</v>
      </c>
      <c r="AF9" s="127" t="s">
        <v>149</v>
      </c>
      <c r="AG9" s="127" t="s">
        <v>149</v>
      </c>
      <c r="AH9" s="127" t="s">
        <v>149</v>
      </c>
      <c r="AI9" s="127" t="s">
        <v>149</v>
      </c>
      <c r="AJ9" s="127" t="s">
        <v>149</v>
      </c>
      <c r="AK9" s="127" t="s">
        <v>149</v>
      </c>
      <c r="AL9" s="127" t="s">
        <v>149</v>
      </c>
      <c r="AM9" s="127" t="s">
        <v>149</v>
      </c>
      <c r="AN9" s="127" t="s">
        <v>149</v>
      </c>
      <c r="AO9" s="127" t="s">
        <v>149</v>
      </c>
      <c r="AP9" s="127" t="s">
        <v>149</v>
      </c>
      <c r="AQ9" s="127" t="s">
        <v>149</v>
      </c>
    </row>
    <row r="10" spans="2:43" ht="15.75">
      <c r="B10" s="128">
        <v>1</v>
      </c>
      <c r="C10" s="129" t="s">
        <v>150</v>
      </c>
      <c r="D10" s="121" t="s">
        <v>233</v>
      </c>
      <c r="E10" s="121" t="s">
        <v>232</v>
      </c>
      <c r="F10" s="121" t="s">
        <v>233</v>
      </c>
      <c r="G10" s="121" t="s">
        <v>232</v>
      </c>
      <c r="H10" s="121" t="s">
        <v>232</v>
      </c>
      <c r="I10" s="121" t="s">
        <v>232</v>
      </c>
      <c r="J10" s="121" t="s">
        <v>232</v>
      </c>
      <c r="K10" s="121" t="s">
        <v>232</v>
      </c>
      <c r="L10" s="121" t="s">
        <v>232</v>
      </c>
      <c r="M10" s="121" t="s">
        <v>232</v>
      </c>
      <c r="N10" s="121" t="s">
        <v>232</v>
      </c>
      <c r="O10" s="121" t="s">
        <v>232</v>
      </c>
      <c r="P10" s="121" t="s">
        <v>232</v>
      </c>
      <c r="Q10" s="121" t="s">
        <v>232</v>
      </c>
      <c r="R10" s="121" t="s">
        <v>232</v>
      </c>
      <c r="S10" s="121" t="s">
        <v>232</v>
      </c>
      <c r="T10" s="121" t="s">
        <v>232</v>
      </c>
      <c r="U10" s="121" t="s">
        <v>232</v>
      </c>
      <c r="V10" s="121" t="s">
        <v>232</v>
      </c>
      <c r="W10" s="121" t="s">
        <v>232</v>
      </c>
      <c r="X10" s="121" t="s">
        <v>232</v>
      </c>
      <c r="Y10" s="121" t="s">
        <v>232</v>
      </c>
      <c r="Z10" s="121" t="s">
        <v>232</v>
      </c>
      <c r="AA10" s="121" t="s">
        <v>232</v>
      </c>
      <c r="AB10" s="121" t="s">
        <v>232</v>
      </c>
      <c r="AC10" s="121" t="s">
        <v>232</v>
      </c>
      <c r="AD10" s="121" t="s">
        <v>232</v>
      </c>
      <c r="AE10" s="121" t="s">
        <v>232</v>
      </c>
      <c r="AF10" s="121" t="s">
        <v>232</v>
      </c>
      <c r="AG10" s="121" t="s">
        <v>232</v>
      </c>
      <c r="AH10" s="121" t="s">
        <v>232</v>
      </c>
      <c r="AI10" s="121" t="s">
        <v>232</v>
      </c>
      <c r="AJ10" s="121" t="s">
        <v>232</v>
      </c>
      <c r="AK10" s="121" t="s">
        <v>232</v>
      </c>
      <c r="AL10" s="121" t="s">
        <v>232</v>
      </c>
      <c r="AM10" s="121" t="s">
        <v>232</v>
      </c>
      <c r="AN10" s="121" t="s">
        <v>232</v>
      </c>
      <c r="AO10" s="121" t="s">
        <v>232</v>
      </c>
      <c r="AP10" s="121" t="s">
        <v>232</v>
      </c>
      <c r="AQ10" s="121" t="s">
        <v>232</v>
      </c>
    </row>
    <row r="11" spans="2:43" ht="15.75">
      <c r="B11" s="130">
        <v>2</v>
      </c>
      <c r="C11" s="131" t="s">
        <v>151</v>
      </c>
      <c r="D11" s="121" t="s">
        <v>233</v>
      </c>
      <c r="E11" s="121" t="s">
        <v>233</v>
      </c>
      <c r="F11" s="121" t="s">
        <v>232</v>
      </c>
      <c r="G11" s="121" t="s">
        <v>233</v>
      </c>
      <c r="H11" s="121" t="s">
        <v>232</v>
      </c>
      <c r="I11" s="121" t="s">
        <v>232</v>
      </c>
      <c r="J11" s="121" t="s">
        <v>233</v>
      </c>
      <c r="K11" s="121" t="s">
        <v>232</v>
      </c>
      <c r="L11" s="121" t="s">
        <v>232</v>
      </c>
      <c r="M11" s="121" t="s">
        <v>232</v>
      </c>
      <c r="N11" s="121" t="s">
        <v>232</v>
      </c>
      <c r="O11" s="121" t="s">
        <v>232</v>
      </c>
      <c r="P11" s="121" t="s">
        <v>232</v>
      </c>
      <c r="Q11" s="121" t="s">
        <v>232</v>
      </c>
      <c r="R11" s="121" t="s">
        <v>232</v>
      </c>
      <c r="S11" s="121" t="s">
        <v>232</v>
      </c>
      <c r="T11" s="121" t="s">
        <v>232</v>
      </c>
      <c r="U11" s="121" t="s">
        <v>233</v>
      </c>
      <c r="V11" s="121" t="s">
        <v>232</v>
      </c>
      <c r="W11" s="121" t="s">
        <v>232</v>
      </c>
      <c r="X11" s="121" t="s">
        <v>233</v>
      </c>
      <c r="Y11" s="121" t="s">
        <v>233</v>
      </c>
      <c r="Z11" s="121" t="s">
        <v>233</v>
      </c>
      <c r="AA11" s="121" t="s">
        <v>233</v>
      </c>
      <c r="AB11" s="121" t="s">
        <v>232</v>
      </c>
      <c r="AC11" s="121" t="s">
        <v>232</v>
      </c>
      <c r="AD11" s="121" t="s">
        <v>232</v>
      </c>
      <c r="AE11" s="121" t="s">
        <v>232</v>
      </c>
      <c r="AF11" s="121" t="s">
        <v>232</v>
      </c>
      <c r="AG11" s="121" t="s">
        <v>232</v>
      </c>
      <c r="AH11" s="121" t="s">
        <v>232</v>
      </c>
      <c r="AI11" s="121" t="s">
        <v>232</v>
      </c>
      <c r="AJ11" s="121" t="s">
        <v>232</v>
      </c>
      <c r="AK11" s="121" t="s">
        <v>232</v>
      </c>
      <c r="AL11" s="121" t="s">
        <v>232</v>
      </c>
      <c r="AM11" s="121" t="s">
        <v>233</v>
      </c>
      <c r="AN11" s="121" t="s">
        <v>232</v>
      </c>
      <c r="AO11" s="121" t="s">
        <v>232</v>
      </c>
      <c r="AP11" s="121" t="s">
        <v>232</v>
      </c>
      <c r="AQ11" s="121" t="s">
        <v>232</v>
      </c>
    </row>
    <row r="12" spans="2:43" ht="15.75">
      <c r="B12" s="130">
        <v>3</v>
      </c>
      <c r="C12" s="131" t="s">
        <v>152</v>
      </c>
      <c r="D12" s="121" t="s">
        <v>233</v>
      </c>
      <c r="E12" s="121" t="s">
        <v>233</v>
      </c>
      <c r="F12" s="121" t="s">
        <v>233</v>
      </c>
      <c r="G12" s="121" t="s">
        <v>233</v>
      </c>
      <c r="H12" s="121" t="s">
        <v>233</v>
      </c>
      <c r="I12" s="121" t="s">
        <v>233</v>
      </c>
      <c r="J12" s="121" t="s">
        <v>233</v>
      </c>
      <c r="K12" s="121" t="s">
        <v>233</v>
      </c>
      <c r="L12" s="121" t="s">
        <v>233</v>
      </c>
      <c r="M12" s="121" t="s">
        <v>233</v>
      </c>
      <c r="N12" s="121" t="s">
        <v>233</v>
      </c>
      <c r="O12" s="121" t="s">
        <v>232</v>
      </c>
      <c r="P12" s="121" t="s">
        <v>232</v>
      </c>
      <c r="Q12" s="121" t="s">
        <v>233</v>
      </c>
      <c r="R12" s="121" t="s">
        <v>232</v>
      </c>
      <c r="S12" s="121" t="s">
        <v>232</v>
      </c>
      <c r="T12" s="121" t="s">
        <v>232</v>
      </c>
      <c r="U12" s="121" t="s">
        <v>233</v>
      </c>
      <c r="V12" s="121" t="s">
        <v>233</v>
      </c>
      <c r="W12" s="121" t="s">
        <v>233</v>
      </c>
      <c r="X12" s="121" t="s">
        <v>233</v>
      </c>
      <c r="Y12" s="121" t="s">
        <v>232</v>
      </c>
      <c r="Z12" s="121" t="s">
        <v>232</v>
      </c>
      <c r="AA12" s="121" t="s">
        <v>233</v>
      </c>
      <c r="AB12" s="121" t="s">
        <v>232</v>
      </c>
      <c r="AC12" s="121" t="s">
        <v>232</v>
      </c>
      <c r="AD12" s="121" t="s">
        <v>233</v>
      </c>
      <c r="AE12" s="121" t="s">
        <v>233</v>
      </c>
      <c r="AF12" s="121" t="s">
        <v>233</v>
      </c>
      <c r="AG12" s="121" t="s">
        <v>233</v>
      </c>
      <c r="AH12" s="121" t="s">
        <v>233</v>
      </c>
      <c r="AI12" s="121" t="s">
        <v>233</v>
      </c>
      <c r="AJ12" s="121" t="s">
        <v>232</v>
      </c>
      <c r="AK12" s="121" t="s">
        <v>232</v>
      </c>
      <c r="AL12" s="121" t="s">
        <v>232</v>
      </c>
      <c r="AM12" s="121" t="s">
        <v>233</v>
      </c>
      <c r="AN12" s="121" t="s">
        <v>233</v>
      </c>
      <c r="AO12" s="121" t="s">
        <v>233</v>
      </c>
      <c r="AP12" s="121" t="s">
        <v>233</v>
      </c>
      <c r="AQ12" s="121" t="s">
        <v>233</v>
      </c>
    </row>
    <row r="13" spans="2:43" ht="15.75">
      <c r="B13" s="130">
        <v>4</v>
      </c>
      <c r="C13" s="131" t="s">
        <v>153</v>
      </c>
      <c r="D13" s="121" t="s">
        <v>233</v>
      </c>
      <c r="E13" s="121" t="s">
        <v>233</v>
      </c>
      <c r="F13" s="121" t="s">
        <v>233</v>
      </c>
      <c r="G13" s="121" t="s">
        <v>233</v>
      </c>
      <c r="H13" s="121" t="s">
        <v>233</v>
      </c>
      <c r="I13" s="121" t="s">
        <v>233</v>
      </c>
      <c r="J13" s="121" t="s">
        <v>233</v>
      </c>
      <c r="K13" s="121" t="s">
        <v>233</v>
      </c>
      <c r="L13" s="121" t="s">
        <v>233</v>
      </c>
      <c r="M13" s="121" t="s">
        <v>233</v>
      </c>
      <c r="N13" s="121" t="s">
        <v>233</v>
      </c>
      <c r="O13" s="121" t="s">
        <v>232</v>
      </c>
      <c r="P13" s="121" t="s">
        <v>232</v>
      </c>
      <c r="Q13" s="121" t="s">
        <v>233</v>
      </c>
      <c r="R13" s="121" t="s">
        <v>233</v>
      </c>
      <c r="S13" s="121" t="s">
        <v>232</v>
      </c>
      <c r="T13" s="121" t="s">
        <v>232</v>
      </c>
      <c r="U13" s="121" t="s">
        <v>232</v>
      </c>
      <c r="V13" s="121" t="s">
        <v>233</v>
      </c>
      <c r="W13" s="121" t="s">
        <v>233</v>
      </c>
      <c r="X13" s="121" t="s">
        <v>233</v>
      </c>
      <c r="Y13" s="121" t="s">
        <v>232</v>
      </c>
      <c r="Z13" s="121" t="s">
        <v>232</v>
      </c>
      <c r="AA13" s="121" t="s">
        <v>233</v>
      </c>
      <c r="AB13" s="121" t="s">
        <v>232</v>
      </c>
      <c r="AC13" s="121" t="s">
        <v>232</v>
      </c>
      <c r="AD13" s="121" t="s">
        <v>233</v>
      </c>
      <c r="AE13" s="121" t="s">
        <v>233</v>
      </c>
      <c r="AF13" s="121" t="s">
        <v>233</v>
      </c>
      <c r="AG13" s="121" t="s">
        <v>233</v>
      </c>
      <c r="AH13" s="121" t="s">
        <v>233</v>
      </c>
      <c r="AI13" s="121" t="s">
        <v>233</v>
      </c>
      <c r="AJ13" s="121" t="s">
        <v>232</v>
      </c>
      <c r="AK13" s="121" t="s">
        <v>232</v>
      </c>
      <c r="AL13" s="121" t="s">
        <v>232</v>
      </c>
      <c r="AM13" s="121" t="s">
        <v>233</v>
      </c>
      <c r="AN13" s="121" t="s">
        <v>233</v>
      </c>
      <c r="AO13" s="121" t="s">
        <v>233</v>
      </c>
      <c r="AP13" s="121" t="s">
        <v>233</v>
      </c>
      <c r="AQ13" s="121" t="s">
        <v>233</v>
      </c>
    </row>
    <row r="14" spans="2:43" ht="15.75">
      <c r="B14" s="130">
        <v>5</v>
      </c>
      <c r="C14" s="131" t="s">
        <v>154</v>
      </c>
      <c r="D14" s="121" t="s">
        <v>232</v>
      </c>
      <c r="E14" s="121" t="s">
        <v>232</v>
      </c>
      <c r="F14" s="121" t="s">
        <v>232</v>
      </c>
      <c r="G14" s="121" t="s">
        <v>232</v>
      </c>
      <c r="H14" s="121" t="s">
        <v>232</v>
      </c>
      <c r="I14" s="121" t="s">
        <v>232</v>
      </c>
      <c r="J14" s="121" t="s">
        <v>232</v>
      </c>
      <c r="K14" s="121" t="s">
        <v>232</v>
      </c>
      <c r="L14" s="121" t="s">
        <v>232</v>
      </c>
      <c r="M14" s="121" t="s">
        <v>232</v>
      </c>
      <c r="N14" s="121" t="s">
        <v>232</v>
      </c>
      <c r="O14" s="121" t="s">
        <v>232</v>
      </c>
      <c r="P14" s="121" t="s">
        <v>232</v>
      </c>
      <c r="Q14" s="121" t="s">
        <v>232</v>
      </c>
      <c r="R14" s="121" t="s">
        <v>232</v>
      </c>
      <c r="S14" s="121" t="s">
        <v>232</v>
      </c>
      <c r="T14" s="121" t="s">
        <v>232</v>
      </c>
      <c r="U14" s="121" t="s">
        <v>232</v>
      </c>
      <c r="V14" s="121" t="s">
        <v>232</v>
      </c>
      <c r="W14" s="121" t="s">
        <v>232</v>
      </c>
      <c r="X14" s="121" t="s">
        <v>232</v>
      </c>
      <c r="Y14" s="121" t="s">
        <v>232</v>
      </c>
      <c r="Z14" s="121" t="s">
        <v>232</v>
      </c>
      <c r="AA14" s="121" t="s">
        <v>232</v>
      </c>
      <c r="AB14" s="121" t="s">
        <v>232</v>
      </c>
      <c r="AC14" s="121" t="s">
        <v>232</v>
      </c>
      <c r="AD14" s="121" t="s">
        <v>232</v>
      </c>
      <c r="AE14" s="121" t="s">
        <v>232</v>
      </c>
      <c r="AF14" s="121" t="s">
        <v>233</v>
      </c>
      <c r="AG14" s="121" t="s">
        <v>233</v>
      </c>
      <c r="AH14" s="121" t="s">
        <v>232</v>
      </c>
      <c r="AI14" s="121" t="s">
        <v>232</v>
      </c>
      <c r="AJ14" s="121" t="s">
        <v>232</v>
      </c>
      <c r="AK14" s="121" t="s">
        <v>232</v>
      </c>
      <c r="AL14" s="121" t="s">
        <v>232</v>
      </c>
      <c r="AM14" s="121" t="s">
        <v>232</v>
      </c>
      <c r="AN14" s="121" t="s">
        <v>232</v>
      </c>
      <c r="AO14" s="121" t="s">
        <v>232</v>
      </c>
      <c r="AP14" s="121" t="s">
        <v>232</v>
      </c>
      <c r="AQ14" s="121" t="s">
        <v>232</v>
      </c>
    </row>
    <row r="15" spans="2:43" ht="15.75">
      <c r="B15" s="130">
        <v>6</v>
      </c>
      <c r="C15" s="131" t="s">
        <v>155</v>
      </c>
      <c r="D15" s="121" t="s">
        <v>233</v>
      </c>
      <c r="E15" s="121" t="s">
        <v>232</v>
      </c>
      <c r="F15" s="121" t="s">
        <v>233</v>
      </c>
      <c r="G15" s="121" t="s">
        <v>232</v>
      </c>
      <c r="H15" s="121" t="s">
        <v>233</v>
      </c>
      <c r="I15" s="121" t="s">
        <v>233</v>
      </c>
      <c r="J15" s="121" t="s">
        <v>232</v>
      </c>
      <c r="K15" s="121" t="s">
        <v>233</v>
      </c>
      <c r="L15" s="121" t="s">
        <v>233</v>
      </c>
      <c r="M15" s="121" t="s">
        <v>232</v>
      </c>
      <c r="N15" s="121" t="s">
        <v>233</v>
      </c>
      <c r="O15" s="121" t="s">
        <v>232</v>
      </c>
      <c r="P15" s="121" t="s">
        <v>232</v>
      </c>
      <c r="Q15" s="121" t="s">
        <v>233</v>
      </c>
      <c r="R15" s="121" t="s">
        <v>233</v>
      </c>
      <c r="S15" s="121" t="s">
        <v>233</v>
      </c>
      <c r="T15" s="121" t="s">
        <v>233</v>
      </c>
      <c r="U15" s="121" t="s">
        <v>233</v>
      </c>
      <c r="V15" s="121" t="s">
        <v>232</v>
      </c>
      <c r="W15" s="121" t="s">
        <v>232</v>
      </c>
      <c r="X15" s="121" t="s">
        <v>233</v>
      </c>
      <c r="Y15" s="121" t="s">
        <v>232</v>
      </c>
      <c r="Z15" s="121" t="s">
        <v>232</v>
      </c>
      <c r="AA15" s="121" t="s">
        <v>232</v>
      </c>
      <c r="AB15" s="121" t="s">
        <v>233</v>
      </c>
      <c r="AC15" s="121" t="s">
        <v>233</v>
      </c>
      <c r="AD15" s="121" t="s">
        <v>232</v>
      </c>
      <c r="AE15" s="121" t="s">
        <v>232</v>
      </c>
      <c r="AF15" s="121" t="s">
        <v>232</v>
      </c>
      <c r="AG15" s="121" t="s">
        <v>232</v>
      </c>
      <c r="AH15" s="121" t="s">
        <v>232</v>
      </c>
      <c r="AI15" s="121" t="s">
        <v>232</v>
      </c>
      <c r="AJ15" s="121" t="s">
        <v>232</v>
      </c>
      <c r="AK15" s="121" t="s">
        <v>232</v>
      </c>
      <c r="AL15" s="121" t="s">
        <v>232</v>
      </c>
      <c r="AM15" s="121" t="s">
        <v>233</v>
      </c>
      <c r="AN15" s="121" t="s">
        <v>232</v>
      </c>
      <c r="AO15" s="121" t="s">
        <v>232</v>
      </c>
      <c r="AP15" s="121" t="s">
        <v>232</v>
      </c>
      <c r="AQ15" s="121" t="s">
        <v>232</v>
      </c>
    </row>
    <row r="16" spans="2:43" ht="15.75">
      <c r="B16" s="130">
        <v>7</v>
      </c>
      <c r="C16" s="131" t="s">
        <v>156</v>
      </c>
      <c r="D16" s="121" t="s">
        <v>233</v>
      </c>
      <c r="E16" s="121" t="s">
        <v>233</v>
      </c>
      <c r="F16" s="121" t="s">
        <v>233</v>
      </c>
      <c r="G16" s="121" t="s">
        <v>233</v>
      </c>
      <c r="H16" s="121" t="s">
        <v>232</v>
      </c>
      <c r="I16" s="121" t="s">
        <v>232</v>
      </c>
      <c r="J16" s="121" t="s">
        <v>233</v>
      </c>
      <c r="K16" s="121" t="s">
        <v>233</v>
      </c>
      <c r="L16" s="121" t="s">
        <v>233</v>
      </c>
      <c r="M16" s="121" t="s">
        <v>233</v>
      </c>
      <c r="N16" s="121" t="s">
        <v>233</v>
      </c>
      <c r="O16" s="121" t="s">
        <v>232</v>
      </c>
      <c r="P16" s="121" t="s">
        <v>232</v>
      </c>
      <c r="Q16" s="121" t="s">
        <v>233</v>
      </c>
      <c r="R16" s="121" t="s">
        <v>233</v>
      </c>
      <c r="S16" s="121" t="s">
        <v>232</v>
      </c>
      <c r="T16" s="121" t="s">
        <v>232</v>
      </c>
      <c r="U16" s="121" t="s">
        <v>232</v>
      </c>
      <c r="V16" s="121" t="s">
        <v>233</v>
      </c>
      <c r="W16" s="121" t="s">
        <v>233</v>
      </c>
      <c r="X16" s="121" t="s">
        <v>233</v>
      </c>
      <c r="Y16" s="121" t="s">
        <v>233</v>
      </c>
      <c r="Z16" s="121" t="s">
        <v>233</v>
      </c>
      <c r="AA16" s="121" t="s">
        <v>233</v>
      </c>
      <c r="AB16" s="121" t="s">
        <v>232</v>
      </c>
      <c r="AC16" s="121" t="s">
        <v>233</v>
      </c>
      <c r="AD16" s="121" t="s">
        <v>232</v>
      </c>
      <c r="AE16" s="121" t="s">
        <v>232</v>
      </c>
      <c r="AF16" s="121" t="s">
        <v>232</v>
      </c>
      <c r="AG16" s="121" t="s">
        <v>232</v>
      </c>
      <c r="AH16" s="121" t="s">
        <v>232</v>
      </c>
      <c r="AI16" s="121" t="s">
        <v>232</v>
      </c>
      <c r="AJ16" s="121" t="s">
        <v>232</v>
      </c>
      <c r="AK16" s="121" t="s">
        <v>232</v>
      </c>
      <c r="AL16" s="121" t="s">
        <v>232</v>
      </c>
      <c r="AM16" s="121" t="s">
        <v>232</v>
      </c>
      <c r="AN16" s="121" t="s">
        <v>232</v>
      </c>
      <c r="AO16" s="121" t="s">
        <v>232</v>
      </c>
      <c r="AP16" s="121" t="s">
        <v>232</v>
      </c>
      <c r="AQ16" s="121" t="s">
        <v>232</v>
      </c>
    </row>
    <row r="17" spans="2:43" ht="30">
      <c r="B17" s="130">
        <v>8</v>
      </c>
      <c r="C17" s="131" t="s">
        <v>157</v>
      </c>
      <c r="D17" s="121" t="s">
        <v>233</v>
      </c>
      <c r="E17" s="121" t="s">
        <v>233</v>
      </c>
      <c r="F17" s="121" t="s">
        <v>233</v>
      </c>
      <c r="G17" s="121" t="s">
        <v>233</v>
      </c>
      <c r="H17" s="121" t="s">
        <v>233</v>
      </c>
      <c r="I17" s="121" t="s">
        <v>233</v>
      </c>
      <c r="J17" s="121" t="s">
        <v>233</v>
      </c>
      <c r="K17" s="121" t="s">
        <v>233</v>
      </c>
      <c r="L17" s="121" t="s">
        <v>233</v>
      </c>
      <c r="M17" s="121" t="s">
        <v>233</v>
      </c>
      <c r="N17" s="121" t="s">
        <v>233</v>
      </c>
      <c r="O17" s="121" t="s">
        <v>232</v>
      </c>
      <c r="P17" s="121" t="s">
        <v>232</v>
      </c>
      <c r="Q17" s="121" t="s">
        <v>233</v>
      </c>
      <c r="R17" s="121" t="s">
        <v>233</v>
      </c>
      <c r="S17" s="121" t="s">
        <v>232</v>
      </c>
      <c r="T17" s="121" t="s">
        <v>232</v>
      </c>
      <c r="U17" s="121" t="s">
        <v>232</v>
      </c>
      <c r="V17" s="121" t="s">
        <v>233</v>
      </c>
      <c r="W17" s="121" t="s">
        <v>233</v>
      </c>
      <c r="X17" s="121" t="s">
        <v>233</v>
      </c>
      <c r="Y17" s="121" t="s">
        <v>233</v>
      </c>
      <c r="Z17" s="121" t="s">
        <v>233</v>
      </c>
      <c r="AA17" s="121" t="s">
        <v>233</v>
      </c>
      <c r="AB17" s="121" t="s">
        <v>232</v>
      </c>
      <c r="AC17" s="121" t="s">
        <v>233</v>
      </c>
      <c r="AD17" s="121" t="s">
        <v>233</v>
      </c>
      <c r="AE17" s="121" t="s">
        <v>233</v>
      </c>
      <c r="AF17" s="121" t="s">
        <v>233</v>
      </c>
      <c r="AG17" s="121" t="s">
        <v>233</v>
      </c>
      <c r="AH17" s="121" t="s">
        <v>233</v>
      </c>
      <c r="AI17" s="121" t="s">
        <v>233</v>
      </c>
      <c r="AJ17" s="121" t="s">
        <v>232</v>
      </c>
      <c r="AK17" s="121" t="s">
        <v>232</v>
      </c>
      <c r="AL17" s="121" t="s">
        <v>233</v>
      </c>
      <c r="AM17" s="121" t="s">
        <v>233</v>
      </c>
      <c r="AN17" s="121" t="s">
        <v>233</v>
      </c>
      <c r="AO17" s="121" t="s">
        <v>233</v>
      </c>
      <c r="AP17" s="121" t="s">
        <v>233</v>
      </c>
      <c r="AQ17" s="121" t="s">
        <v>233</v>
      </c>
    </row>
    <row r="18" spans="2:43" ht="15.75">
      <c r="B18" s="130">
        <v>9</v>
      </c>
      <c r="C18" s="131" t="s">
        <v>158</v>
      </c>
      <c r="D18" s="121" t="s">
        <v>232</v>
      </c>
      <c r="E18" s="121" t="s">
        <v>233</v>
      </c>
      <c r="F18" s="121" t="s">
        <v>233</v>
      </c>
      <c r="G18" s="121" t="s">
        <v>232</v>
      </c>
      <c r="H18" s="121" t="s">
        <v>232</v>
      </c>
      <c r="I18" s="121" t="s">
        <v>232</v>
      </c>
      <c r="J18" s="121" t="s">
        <v>233</v>
      </c>
      <c r="K18" s="121" t="s">
        <v>233</v>
      </c>
      <c r="L18" s="121" t="s">
        <v>232</v>
      </c>
      <c r="M18" s="121" t="s">
        <v>233</v>
      </c>
      <c r="N18" s="121" t="s">
        <v>233</v>
      </c>
      <c r="O18" s="121" t="s">
        <v>232</v>
      </c>
      <c r="P18" s="121" t="s">
        <v>232</v>
      </c>
      <c r="Q18" s="121" t="s">
        <v>232</v>
      </c>
      <c r="R18" s="121" t="s">
        <v>232</v>
      </c>
      <c r="S18" s="121" t="s">
        <v>232</v>
      </c>
      <c r="T18" s="121" t="s">
        <v>232</v>
      </c>
      <c r="U18" s="121" t="s">
        <v>233</v>
      </c>
      <c r="V18" s="121" t="s">
        <v>233</v>
      </c>
      <c r="W18" s="121" t="s">
        <v>233</v>
      </c>
      <c r="X18" s="121" t="s">
        <v>232</v>
      </c>
      <c r="Y18" s="121" t="s">
        <v>233</v>
      </c>
      <c r="Z18" s="121" t="s">
        <v>233</v>
      </c>
      <c r="AA18" s="121" t="s">
        <v>233</v>
      </c>
      <c r="AB18" s="121" t="s">
        <v>233</v>
      </c>
      <c r="AC18" s="121" t="s">
        <v>233</v>
      </c>
      <c r="AD18" s="121" t="s">
        <v>233</v>
      </c>
      <c r="AE18" s="121" t="s">
        <v>233</v>
      </c>
      <c r="AF18" s="121" t="s">
        <v>233</v>
      </c>
      <c r="AG18" s="121" t="s">
        <v>233</v>
      </c>
      <c r="AH18" s="121" t="s">
        <v>233</v>
      </c>
      <c r="AI18" s="121" t="s">
        <v>233</v>
      </c>
      <c r="AJ18" s="121" t="s">
        <v>232</v>
      </c>
      <c r="AK18" s="121" t="s">
        <v>232</v>
      </c>
      <c r="AL18" s="121" t="s">
        <v>232</v>
      </c>
      <c r="AM18" s="121" t="s">
        <v>233</v>
      </c>
      <c r="AN18" s="121" t="s">
        <v>233</v>
      </c>
      <c r="AO18" s="121" t="s">
        <v>233</v>
      </c>
      <c r="AP18" s="121" t="s">
        <v>233</v>
      </c>
      <c r="AQ18" s="121" t="s">
        <v>233</v>
      </c>
    </row>
    <row r="19" spans="2:43" ht="15.75">
      <c r="B19" s="130">
        <v>10</v>
      </c>
      <c r="C19" s="131" t="s">
        <v>159</v>
      </c>
      <c r="D19" s="121" t="s">
        <v>233</v>
      </c>
      <c r="E19" s="121" t="s">
        <v>232</v>
      </c>
      <c r="F19" s="121" t="s">
        <v>232</v>
      </c>
      <c r="G19" s="121" t="s">
        <v>232</v>
      </c>
      <c r="H19" s="121" t="s">
        <v>232</v>
      </c>
      <c r="I19" s="121" t="s">
        <v>232</v>
      </c>
      <c r="J19" s="121" t="s">
        <v>232</v>
      </c>
      <c r="K19" s="121" t="s">
        <v>232</v>
      </c>
      <c r="L19" s="121" t="s">
        <v>232</v>
      </c>
      <c r="M19" s="121" t="s">
        <v>232</v>
      </c>
      <c r="N19" s="121" t="s">
        <v>232</v>
      </c>
      <c r="O19" s="121" t="s">
        <v>232</v>
      </c>
      <c r="P19" s="121" t="s">
        <v>232</v>
      </c>
      <c r="Q19" s="121" t="s">
        <v>232</v>
      </c>
      <c r="R19" s="121" t="s">
        <v>232</v>
      </c>
      <c r="S19" s="121" t="s">
        <v>232</v>
      </c>
      <c r="T19" s="121" t="s">
        <v>232</v>
      </c>
      <c r="U19" s="121" t="s">
        <v>232</v>
      </c>
      <c r="V19" s="121" t="s">
        <v>233</v>
      </c>
      <c r="W19" s="121" t="s">
        <v>233</v>
      </c>
      <c r="X19" s="121" t="s">
        <v>232</v>
      </c>
      <c r="Y19" s="121" t="s">
        <v>232</v>
      </c>
      <c r="Z19" s="121" t="s">
        <v>232</v>
      </c>
      <c r="AA19" s="121" t="s">
        <v>232</v>
      </c>
      <c r="AB19" s="121" t="s">
        <v>232</v>
      </c>
      <c r="AC19" s="121" t="s">
        <v>232</v>
      </c>
      <c r="AD19" s="121" t="s">
        <v>232</v>
      </c>
      <c r="AE19" s="121" t="s">
        <v>232</v>
      </c>
      <c r="AF19" s="121" t="s">
        <v>232</v>
      </c>
      <c r="AG19" s="121" t="s">
        <v>232</v>
      </c>
      <c r="AH19" s="121" t="s">
        <v>232</v>
      </c>
      <c r="AI19" s="121" t="s">
        <v>232</v>
      </c>
      <c r="AJ19" s="121" t="s">
        <v>232</v>
      </c>
      <c r="AK19" s="121" t="s">
        <v>232</v>
      </c>
      <c r="AL19" s="121" t="s">
        <v>232</v>
      </c>
      <c r="AM19" s="121" t="s">
        <v>232</v>
      </c>
      <c r="AN19" s="121" t="s">
        <v>232</v>
      </c>
      <c r="AO19" s="121" t="s">
        <v>232</v>
      </c>
      <c r="AP19" s="121" t="s">
        <v>232</v>
      </c>
      <c r="AQ19" s="121" t="s">
        <v>232</v>
      </c>
    </row>
    <row r="20" spans="2:43" ht="15.75">
      <c r="B20" s="130">
        <v>11</v>
      </c>
      <c r="C20" s="131" t="s">
        <v>160</v>
      </c>
      <c r="D20" s="121" t="s">
        <v>233</v>
      </c>
      <c r="E20" s="121" t="s">
        <v>232</v>
      </c>
      <c r="F20" s="121" t="s">
        <v>232</v>
      </c>
      <c r="G20" s="121" t="s">
        <v>233</v>
      </c>
      <c r="H20" s="121" t="s">
        <v>232</v>
      </c>
      <c r="I20" s="121" t="s">
        <v>232</v>
      </c>
      <c r="J20" s="121" t="s">
        <v>232</v>
      </c>
      <c r="K20" s="121" t="s">
        <v>232</v>
      </c>
      <c r="L20" s="121" t="s">
        <v>232</v>
      </c>
      <c r="M20" s="121" t="s">
        <v>232</v>
      </c>
      <c r="N20" s="121" t="s">
        <v>232</v>
      </c>
      <c r="O20" s="121" t="s">
        <v>232</v>
      </c>
      <c r="P20" s="121" t="s">
        <v>232</v>
      </c>
      <c r="Q20" s="121" t="s">
        <v>232</v>
      </c>
      <c r="R20" s="121" t="s">
        <v>232</v>
      </c>
      <c r="S20" s="121" t="s">
        <v>232</v>
      </c>
      <c r="T20" s="121" t="s">
        <v>232</v>
      </c>
      <c r="U20" s="121" t="s">
        <v>232</v>
      </c>
      <c r="V20" s="121" t="s">
        <v>232</v>
      </c>
      <c r="W20" s="121" t="s">
        <v>232</v>
      </c>
      <c r="X20" s="121" t="s">
        <v>232</v>
      </c>
      <c r="Y20" s="121" t="s">
        <v>232</v>
      </c>
      <c r="Z20" s="121" t="s">
        <v>232</v>
      </c>
      <c r="AA20" s="121" t="s">
        <v>232</v>
      </c>
      <c r="AB20" s="121" t="s">
        <v>232</v>
      </c>
      <c r="AC20" s="121" t="s">
        <v>232</v>
      </c>
      <c r="AD20" s="121" t="s">
        <v>232</v>
      </c>
      <c r="AE20" s="121" t="s">
        <v>232</v>
      </c>
      <c r="AF20" s="121" t="s">
        <v>232</v>
      </c>
      <c r="AG20" s="121" t="s">
        <v>232</v>
      </c>
      <c r="AH20" s="121" t="s">
        <v>232</v>
      </c>
      <c r="AI20" s="121" t="s">
        <v>232</v>
      </c>
      <c r="AJ20" s="121" t="s">
        <v>232</v>
      </c>
      <c r="AK20" s="121" t="s">
        <v>232</v>
      </c>
      <c r="AL20" s="121" t="s">
        <v>232</v>
      </c>
      <c r="AM20" s="121" t="s">
        <v>232</v>
      </c>
      <c r="AN20" s="121" t="s">
        <v>232</v>
      </c>
      <c r="AO20" s="121" t="s">
        <v>232</v>
      </c>
      <c r="AP20" s="121" t="s">
        <v>232</v>
      </c>
      <c r="AQ20" s="121" t="s">
        <v>232</v>
      </c>
    </row>
    <row r="21" spans="2:43" ht="15.75">
      <c r="B21" s="130">
        <v>12</v>
      </c>
      <c r="C21" s="131" t="s">
        <v>161</v>
      </c>
      <c r="D21" s="121" t="s">
        <v>232</v>
      </c>
      <c r="E21" s="121" t="s">
        <v>232</v>
      </c>
      <c r="F21" s="121" t="s">
        <v>232</v>
      </c>
      <c r="G21" s="121" t="s">
        <v>232</v>
      </c>
      <c r="H21" s="121" t="s">
        <v>232</v>
      </c>
      <c r="I21" s="121" t="s">
        <v>232</v>
      </c>
      <c r="J21" s="121" t="s">
        <v>232</v>
      </c>
      <c r="K21" s="121" t="s">
        <v>232</v>
      </c>
      <c r="L21" s="121" t="s">
        <v>232</v>
      </c>
      <c r="M21" s="121" t="s">
        <v>232</v>
      </c>
      <c r="N21" s="121" t="s">
        <v>232</v>
      </c>
      <c r="O21" s="121" t="s">
        <v>232</v>
      </c>
      <c r="P21" s="121" t="s">
        <v>232</v>
      </c>
      <c r="Q21" s="121" t="s">
        <v>232</v>
      </c>
      <c r="R21" s="121" t="s">
        <v>232</v>
      </c>
      <c r="S21" s="121" t="s">
        <v>232</v>
      </c>
      <c r="T21" s="121" t="s">
        <v>232</v>
      </c>
      <c r="U21" s="121" t="s">
        <v>232</v>
      </c>
      <c r="V21" s="121" t="s">
        <v>232</v>
      </c>
      <c r="W21" s="121" t="s">
        <v>232</v>
      </c>
      <c r="X21" s="121" t="s">
        <v>232</v>
      </c>
      <c r="Y21" s="121" t="s">
        <v>232</v>
      </c>
      <c r="Z21" s="121" t="s">
        <v>232</v>
      </c>
      <c r="AA21" s="121" t="s">
        <v>232</v>
      </c>
      <c r="AB21" s="121" t="s">
        <v>232</v>
      </c>
      <c r="AC21" s="121" t="s">
        <v>232</v>
      </c>
      <c r="AD21" s="121" t="s">
        <v>232</v>
      </c>
      <c r="AE21" s="121" t="s">
        <v>232</v>
      </c>
      <c r="AF21" s="121" t="s">
        <v>232</v>
      </c>
      <c r="AG21" s="121" t="s">
        <v>232</v>
      </c>
      <c r="AH21" s="121" t="s">
        <v>232</v>
      </c>
      <c r="AI21" s="121" t="s">
        <v>232</v>
      </c>
      <c r="AJ21" s="121" t="s">
        <v>232</v>
      </c>
      <c r="AK21" s="121" t="s">
        <v>232</v>
      </c>
      <c r="AL21" s="121" t="s">
        <v>232</v>
      </c>
      <c r="AM21" s="121" t="s">
        <v>232</v>
      </c>
      <c r="AN21" s="121" t="s">
        <v>232</v>
      </c>
      <c r="AO21" s="121" t="s">
        <v>232</v>
      </c>
      <c r="AP21" s="121" t="s">
        <v>232</v>
      </c>
      <c r="AQ21" s="121" t="s">
        <v>232</v>
      </c>
    </row>
    <row r="22" spans="2:43" ht="15.75">
      <c r="B22" s="130">
        <v>13</v>
      </c>
      <c r="C22" s="131" t="s">
        <v>162</v>
      </c>
      <c r="D22" s="121" t="s">
        <v>233</v>
      </c>
      <c r="E22" s="121" t="s">
        <v>232</v>
      </c>
      <c r="F22" s="121" t="s">
        <v>233</v>
      </c>
      <c r="G22" s="121" t="s">
        <v>232</v>
      </c>
      <c r="H22" s="121" t="s">
        <v>232</v>
      </c>
      <c r="I22" s="121" t="s">
        <v>233</v>
      </c>
      <c r="J22" s="121" t="s">
        <v>232</v>
      </c>
      <c r="K22" s="121" t="s">
        <v>232</v>
      </c>
      <c r="L22" s="121" t="s">
        <v>232</v>
      </c>
      <c r="M22" s="121" t="s">
        <v>232</v>
      </c>
      <c r="N22" s="121" t="s">
        <v>232</v>
      </c>
      <c r="O22" s="121" t="s">
        <v>232</v>
      </c>
      <c r="P22" s="121" t="s">
        <v>233</v>
      </c>
      <c r="Q22" s="121" t="s">
        <v>233</v>
      </c>
      <c r="R22" s="121" t="s">
        <v>232</v>
      </c>
      <c r="S22" s="121" t="s">
        <v>233</v>
      </c>
      <c r="T22" s="121" t="s">
        <v>233</v>
      </c>
      <c r="U22" s="121" t="s">
        <v>232</v>
      </c>
      <c r="V22" s="121" t="s">
        <v>232</v>
      </c>
      <c r="W22" s="121" t="s">
        <v>232</v>
      </c>
      <c r="X22" s="121" t="s">
        <v>232</v>
      </c>
      <c r="Y22" s="121" t="s">
        <v>232</v>
      </c>
      <c r="Z22" s="121" t="s">
        <v>232</v>
      </c>
      <c r="AA22" s="121" t="s">
        <v>232</v>
      </c>
      <c r="AB22" s="121" t="s">
        <v>232</v>
      </c>
      <c r="AC22" s="121" t="s">
        <v>232</v>
      </c>
      <c r="AD22" s="121" t="s">
        <v>232</v>
      </c>
      <c r="AE22" s="121" t="s">
        <v>232</v>
      </c>
      <c r="AF22" s="121" t="s">
        <v>232</v>
      </c>
      <c r="AG22" s="121" t="s">
        <v>232</v>
      </c>
      <c r="AH22" s="121" t="s">
        <v>232</v>
      </c>
      <c r="AI22" s="121" t="s">
        <v>232</v>
      </c>
      <c r="AJ22" s="121" t="s">
        <v>232</v>
      </c>
      <c r="AK22" s="121" t="s">
        <v>232</v>
      </c>
      <c r="AL22" s="121" t="s">
        <v>232</v>
      </c>
      <c r="AM22" s="121" t="s">
        <v>233</v>
      </c>
      <c r="AN22" s="121" t="s">
        <v>232</v>
      </c>
      <c r="AO22" s="121" t="s">
        <v>232</v>
      </c>
      <c r="AP22" s="121" t="s">
        <v>232</v>
      </c>
      <c r="AQ22" s="121" t="s">
        <v>232</v>
      </c>
    </row>
    <row r="23" spans="2:43" ht="15.75">
      <c r="B23" s="130">
        <v>14</v>
      </c>
      <c r="C23" s="131" t="s">
        <v>163</v>
      </c>
      <c r="D23" s="121" t="s">
        <v>233</v>
      </c>
      <c r="E23" s="121" t="s">
        <v>232</v>
      </c>
      <c r="F23" s="121" t="s">
        <v>233</v>
      </c>
      <c r="G23" s="121" t="s">
        <v>232</v>
      </c>
      <c r="H23" s="121" t="s">
        <v>232</v>
      </c>
      <c r="I23" s="121" t="s">
        <v>232</v>
      </c>
      <c r="J23" s="121" t="s">
        <v>232</v>
      </c>
      <c r="K23" s="121" t="s">
        <v>233</v>
      </c>
      <c r="L23" s="121" t="s">
        <v>232</v>
      </c>
      <c r="M23" s="121" t="s">
        <v>232</v>
      </c>
      <c r="N23" s="121" t="s">
        <v>232</v>
      </c>
      <c r="O23" s="121" t="s">
        <v>232</v>
      </c>
      <c r="P23" s="121" t="s">
        <v>232</v>
      </c>
      <c r="Q23" s="121" t="s">
        <v>233</v>
      </c>
      <c r="R23" s="121" t="s">
        <v>233</v>
      </c>
      <c r="S23" s="121" t="s">
        <v>232</v>
      </c>
      <c r="T23" s="121" t="s">
        <v>232</v>
      </c>
      <c r="U23" s="121" t="s">
        <v>233</v>
      </c>
      <c r="V23" s="121" t="s">
        <v>232</v>
      </c>
      <c r="W23" s="121" t="s">
        <v>232</v>
      </c>
      <c r="X23" s="121" t="s">
        <v>232</v>
      </c>
      <c r="Y23" s="121" t="s">
        <v>232</v>
      </c>
      <c r="Z23" s="121" t="s">
        <v>232</v>
      </c>
      <c r="AA23" s="121" t="s">
        <v>233</v>
      </c>
      <c r="AB23" s="121" t="s">
        <v>232</v>
      </c>
      <c r="AC23" s="121" t="s">
        <v>232</v>
      </c>
      <c r="AD23" s="121" t="s">
        <v>232</v>
      </c>
      <c r="AE23" s="121" t="s">
        <v>232</v>
      </c>
      <c r="AF23" s="121" t="s">
        <v>232</v>
      </c>
      <c r="AG23" s="121" t="s">
        <v>232</v>
      </c>
      <c r="AH23" s="121" t="s">
        <v>232</v>
      </c>
      <c r="AI23" s="121" t="s">
        <v>232</v>
      </c>
      <c r="AJ23" s="121" t="s">
        <v>232</v>
      </c>
      <c r="AK23" s="121" t="s">
        <v>232</v>
      </c>
      <c r="AL23" s="121" t="s">
        <v>232</v>
      </c>
      <c r="AM23" s="121" t="s">
        <v>233</v>
      </c>
      <c r="AN23" s="121" t="s">
        <v>232</v>
      </c>
      <c r="AO23" s="121" t="s">
        <v>232</v>
      </c>
      <c r="AP23" s="121" t="s">
        <v>232</v>
      </c>
      <c r="AQ23" s="121" t="s">
        <v>232</v>
      </c>
    </row>
    <row r="24" spans="2:43" ht="15.75">
      <c r="B24" s="130">
        <v>15</v>
      </c>
      <c r="C24" s="131" t="s">
        <v>164</v>
      </c>
      <c r="D24" s="121" t="s">
        <v>232</v>
      </c>
      <c r="E24" s="121" t="s">
        <v>232</v>
      </c>
      <c r="F24" s="121" t="s">
        <v>232</v>
      </c>
      <c r="G24" s="121" t="s">
        <v>233</v>
      </c>
      <c r="H24" s="121" t="s">
        <v>233</v>
      </c>
      <c r="I24" s="121" t="s">
        <v>232</v>
      </c>
      <c r="J24" s="121" t="s">
        <v>232</v>
      </c>
      <c r="K24" s="121" t="s">
        <v>233</v>
      </c>
      <c r="L24" s="121" t="s">
        <v>233</v>
      </c>
      <c r="M24" s="121" t="s">
        <v>232</v>
      </c>
      <c r="N24" s="121" t="s">
        <v>232</v>
      </c>
      <c r="O24" s="121" t="s">
        <v>232</v>
      </c>
      <c r="P24" s="121" t="s">
        <v>232</v>
      </c>
      <c r="Q24" s="121" t="s">
        <v>232</v>
      </c>
      <c r="R24" s="121" t="s">
        <v>232</v>
      </c>
      <c r="S24" s="121" t="s">
        <v>232</v>
      </c>
      <c r="T24" s="121" t="s">
        <v>232</v>
      </c>
      <c r="U24" s="121" t="s">
        <v>232</v>
      </c>
      <c r="V24" s="121" t="s">
        <v>233</v>
      </c>
      <c r="W24" s="121" t="s">
        <v>233</v>
      </c>
      <c r="X24" s="121" t="s">
        <v>232</v>
      </c>
      <c r="Y24" s="121" t="s">
        <v>232</v>
      </c>
      <c r="Z24" s="121" t="s">
        <v>232</v>
      </c>
      <c r="AA24" s="121" t="s">
        <v>232</v>
      </c>
      <c r="AB24" s="121" t="s">
        <v>232</v>
      </c>
      <c r="AC24" s="121" t="s">
        <v>232</v>
      </c>
      <c r="AD24" s="121" t="s">
        <v>233</v>
      </c>
      <c r="AE24" s="121" t="s">
        <v>233</v>
      </c>
      <c r="AF24" s="121" t="s">
        <v>233</v>
      </c>
      <c r="AG24" s="121" t="s">
        <v>233</v>
      </c>
      <c r="AH24" s="121" t="s">
        <v>233</v>
      </c>
      <c r="AI24" s="121" t="s">
        <v>233</v>
      </c>
      <c r="AJ24" s="121" t="s">
        <v>232</v>
      </c>
      <c r="AK24" s="121" t="s">
        <v>232</v>
      </c>
      <c r="AL24" s="121" t="s">
        <v>232</v>
      </c>
      <c r="AM24" s="121" t="s">
        <v>232</v>
      </c>
      <c r="AN24" s="121" t="s">
        <v>233</v>
      </c>
      <c r="AO24" s="121" t="s">
        <v>232</v>
      </c>
      <c r="AP24" s="121" t="s">
        <v>233</v>
      </c>
      <c r="AQ24" s="121" t="s">
        <v>233</v>
      </c>
    </row>
    <row r="25" spans="2:43" ht="15.75">
      <c r="B25" s="130">
        <v>16</v>
      </c>
      <c r="C25" s="131" t="s">
        <v>165</v>
      </c>
      <c r="D25" s="121" t="s">
        <v>233</v>
      </c>
      <c r="E25" s="121" t="s">
        <v>233</v>
      </c>
      <c r="F25" s="121" t="s">
        <v>233</v>
      </c>
      <c r="G25" s="121" t="s">
        <v>233</v>
      </c>
      <c r="H25" s="121" t="s">
        <v>233</v>
      </c>
      <c r="I25" s="121" t="s">
        <v>233</v>
      </c>
      <c r="J25" s="121" t="s">
        <v>233</v>
      </c>
      <c r="K25" s="121" t="s">
        <v>233</v>
      </c>
      <c r="L25" s="121" t="s">
        <v>233</v>
      </c>
      <c r="M25" s="121" t="s">
        <v>233</v>
      </c>
      <c r="N25" s="121" t="s">
        <v>233</v>
      </c>
      <c r="O25" s="121" t="s">
        <v>233</v>
      </c>
      <c r="P25" s="121" t="s">
        <v>233</v>
      </c>
      <c r="Q25" s="121" t="s">
        <v>233</v>
      </c>
      <c r="R25" s="121" t="s">
        <v>233</v>
      </c>
      <c r="S25" s="121" t="s">
        <v>233</v>
      </c>
      <c r="T25" s="121" t="s">
        <v>233</v>
      </c>
      <c r="U25" s="121" t="s">
        <v>233</v>
      </c>
      <c r="V25" s="121" t="s">
        <v>233</v>
      </c>
      <c r="W25" s="121" t="s">
        <v>233</v>
      </c>
      <c r="X25" s="121" t="s">
        <v>233</v>
      </c>
      <c r="Y25" s="121" t="s">
        <v>233</v>
      </c>
      <c r="Z25" s="121" t="s">
        <v>233</v>
      </c>
      <c r="AA25" s="121" t="s">
        <v>233</v>
      </c>
      <c r="AB25" s="121" t="s">
        <v>233</v>
      </c>
      <c r="AC25" s="121" t="s">
        <v>233</v>
      </c>
      <c r="AD25" s="121" t="s">
        <v>233</v>
      </c>
      <c r="AE25" s="121" t="s">
        <v>233</v>
      </c>
      <c r="AF25" s="121" t="s">
        <v>233</v>
      </c>
      <c r="AG25" s="121" t="s">
        <v>233</v>
      </c>
      <c r="AH25" s="121" t="s">
        <v>233</v>
      </c>
      <c r="AI25" s="121" t="s">
        <v>233</v>
      </c>
      <c r="AJ25" s="121" t="s">
        <v>233</v>
      </c>
      <c r="AK25" s="121" t="s">
        <v>233</v>
      </c>
      <c r="AL25" s="121" t="s">
        <v>232</v>
      </c>
      <c r="AM25" s="121" t="s">
        <v>233</v>
      </c>
      <c r="AN25" s="121" t="s">
        <v>233</v>
      </c>
      <c r="AO25" s="121" t="s">
        <v>233</v>
      </c>
      <c r="AP25" s="121" t="s">
        <v>233</v>
      </c>
      <c r="AQ25" s="121" t="s">
        <v>233</v>
      </c>
    </row>
    <row r="26" spans="2:43" ht="15.75">
      <c r="B26" s="130">
        <v>17</v>
      </c>
      <c r="C26" s="131" t="s">
        <v>166</v>
      </c>
      <c r="D26" s="121" t="s">
        <v>232</v>
      </c>
      <c r="E26" s="121" t="s">
        <v>232</v>
      </c>
      <c r="F26" s="121" t="s">
        <v>232</v>
      </c>
      <c r="G26" s="121" t="s">
        <v>233</v>
      </c>
      <c r="H26" s="121" t="s">
        <v>233</v>
      </c>
      <c r="I26" s="121" t="s">
        <v>233</v>
      </c>
      <c r="J26" s="121" t="s">
        <v>232</v>
      </c>
      <c r="K26" s="121" t="s">
        <v>232</v>
      </c>
      <c r="L26" s="121" t="s">
        <v>232</v>
      </c>
      <c r="M26" s="121" t="s">
        <v>232</v>
      </c>
      <c r="N26" s="121" t="s">
        <v>233</v>
      </c>
      <c r="O26" s="121" t="s">
        <v>232</v>
      </c>
      <c r="P26" s="121" t="s">
        <v>232</v>
      </c>
      <c r="Q26" s="121" t="s">
        <v>232</v>
      </c>
      <c r="R26" s="121" t="s">
        <v>232</v>
      </c>
      <c r="S26" s="121" t="s">
        <v>232</v>
      </c>
      <c r="T26" s="121" t="s">
        <v>232</v>
      </c>
      <c r="U26" s="121" t="s">
        <v>232</v>
      </c>
      <c r="V26" s="121" t="s">
        <v>233</v>
      </c>
      <c r="W26" s="121" t="s">
        <v>233</v>
      </c>
      <c r="X26" s="121" t="s">
        <v>233</v>
      </c>
      <c r="Y26" s="121" t="s">
        <v>233</v>
      </c>
      <c r="Z26" s="121" t="s">
        <v>233</v>
      </c>
      <c r="AA26" s="121" t="s">
        <v>233</v>
      </c>
      <c r="AB26" s="121" t="s">
        <v>232</v>
      </c>
      <c r="AC26" s="121" t="s">
        <v>232</v>
      </c>
      <c r="AD26" s="121" t="s">
        <v>233</v>
      </c>
      <c r="AE26" s="121" t="s">
        <v>233</v>
      </c>
      <c r="AF26" s="121" t="s">
        <v>233</v>
      </c>
      <c r="AG26" s="121" t="s">
        <v>233</v>
      </c>
      <c r="AH26" s="121" t="s">
        <v>233</v>
      </c>
      <c r="AI26" s="121" t="s">
        <v>233</v>
      </c>
      <c r="AJ26" s="121" t="s">
        <v>232</v>
      </c>
      <c r="AK26" s="121" t="s">
        <v>232</v>
      </c>
      <c r="AL26" s="121" t="s">
        <v>232</v>
      </c>
      <c r="AM26" s="121" t="s">
        <v>233</v>
      </c>
      <c r="AN26" s="121" t="s">
        <v>233</v>
      </c>
      <c r="AO26" s="121" t="s">
        <v>233</v>
      </c>
      <c r="AP26" s="121" t="s">
        <v>233</v>
      </c>
      <c r="AQ26" s="121" t="s">
        <v>233</v>
      </c>
    </row>
    <row r="27" spans="2:43" ht="15.75">
      <c r="B27" s="130">
        <v>18</v>
      </c>
      <c r="C27" s="131" t="s">
        <v>167</v>
      </c>
      <c r="D27" s="121" t="s">
        <v>233</v>
      </c>
      <c r="E27" s="121" t="s">
        <v>233</v>
      </c>
      <c r="F27" s="121" t="s">
        <v>233</v>
      </c>
      <c r="G27" s="121" t="s">
        <v>233</v>
      </c>
      <c r="H27" s="121" t="s">
        <v>233</v>
      </c>
      <c r="I27" s="121" t="s">
        <v>233</v>
      </c>
      <c r="J27" s="121" t="s">
        <v>232</v>
      </c>
      <c r="K27" s="121" t="s">
        <v>233</v>
      </c>
      <c r="L27" s="121" t="s">
        <v>233</v>
      </c>
      <c r="M27" s="121" t="s">
        <v>233</v>
      </c>
      <c r="N27" s="121" t="s">
        <v>233</v>
      </c>
      <c r="O27" s="121" t="s">
        <v>232</v>
      </c>
      <c r="P27" s="121" t="s">
        <v>232</v>
      </c>
      <c r="Q27" s="121" t="s">
        <v>233</v>
      </c>
      <c r="R27" s="121" t="s">
        <v>233</v>
      </c>
      <c r="S27" s="121" t="s">
        <v>232</v>
      </c>
      <c r="T27" s="121" t="s">
        <v>232</v>
      </c>
      <c r="U27" s="121" t="s">
        <v>233</v>
      </c>
      <c r="V27" s="121" t="s">
        <v>233</v>
      </c>
      <c r="W27" s="121" t="s">
        <v>233</v>
      </c>
      <c r="X27" s="121" t="s">
        <v>233</v>
      </c>
      <c r="Y27" s="121" t="s">
        <v>233</v>
      </c>
      <c r="Z27" s="121" t="s">
        <v>233</v>
      </c>
      <c r="AA27" s="121" t="s">
        <v>233</v>
      </c>
      <c r="AB27" s="121" t="s">
        <v>233</v>
      </c>
      <c r="AC27" s="121" t="s">
        <v>233</v>
      </c>
      <c r="AD27" s="121" t="s">
        <v>233</v>
      </c>
      <c r="AE27" s="121" t="s">
        <v>233</v>
      </c>
      <c r="AF27" s="121" t="s">
        <v>233</v>
      </c>
      <c r="AG27" s="121" t="s">
        <v>233</v>
      </c>
      <c r="AH27" s="121" t="s">
        <v>233</v>
      </c>
      <c r="AI27" s="121" t="s">
        <v>233</v>
      </c>
      <c r="AJ27" s="121" t="s">
        <v>232</v>
      </c>
      <c r="AK27" s="121" t="s">
        <v>232</v>
      </c>
      <c r="AL27" s="121" t="s">
        <v>233</v>
      </c>
      <c r="AM27" s="121" t="s">
        <v>233</v>
      </c>
      <c r="AN27" s="121" t="s">
        <v>233</v>
      </c>
      <c r="AO27" s="121" t="s">
        <v>233</v>
      </c>
      <c r="AP27" s="121" t="s">
        <v>233</v>
      </c>
      <c r="AQ27" s="121" t="s">
        <v>233</v>
      </c>
    </row>
    <row r="28" spans="2:43" ht="16.5" thickBot="1">
      <c r="B28" s="132">
        <v>19</v>
      </c>
      <c r="C28" s="133" t="s">
        <v>168</v>
      </c>
      <c r="D28" s="122" t="s">
        <v>233</v>
      </c>
      <c r="E28" s="122" t="s">
        <v>233</v>
      </c>
      <c r="F28" s="122" t="s">
        <v>233</v>
      </c>
      <c r="G28" s="122" t="s">
        <v>233</v>
      </c>
      <c r="H28" s="122" t="s">
        <v>233</v>
      </c>
      <c r="I28" s="122" t="s">
        <v>233</v>
      </c>
      <c r="J28" s="122" t="s">
        <v>233</v>
      </c>
      <c r="K28" s="122" t="s">
        <v>233</v>
      </c>
      <c r="L28" s="122" t="s">
        <v>233</v>
      </c>
      <c r="M28" s="122" t="s">
        <v>233</v>
      </c>
      <c r="N28" s="122" t="s">
        <v>233</v>
      </c>
      <c r="O28" s="122" t="s">
        <v>233</v>
      </c>
      <c r="P28" s="122" t="s">
        <v>233</v>
      </c>
      <c r="Q28" s="122" t="s">
        <v>233</v>
      </c>
      <c r="R28" s="122" t="s">
        <v>233</v>
      </c>
      <c r="S28" s="122" t="s">
        <v>233</v>
      </c>
      <c r="T28" s="122" t="s">
        <v>233</v>
      </c>
      <c r="U28" s="122" t="s">
        <v>233</v>
      </c>
      <c r="V28" s="122" t="s">
        <v>233</v>
      </c>
      <c r="W28" s="122" t="s">
        <v>233</v>
      </c>
      <c r="X28" s="122" t="s">
        <v>233</v>
      </c>
      <c r="Y28" s="122" t="s">
        <v>233</v>
      </c>
      <c r="Z28" s="122" t="s">
        <v>233</v>
      </c>
      <c r="AA28" s="122" t="s">
        <v>233</v>
      </c>
      <c r="AB28" s="122" t="s">
        <v>233</v>
      </c>
      <c r="AC28" s="122" t="s">
        <v>233</v>
      </c>
      <c r="AD28" s="122" t="s">
        <v>233</v>
      </c>
      <c r="AE28" s="122" t="s">
        <v>233</v>
      </c>
      <c r="AF28" s="122" t="s">
        <v>233</v>
      </c>
      <c r="AG28" s="122" t="s">
        <v>233</v>
      </c>
      <c r="AH28" s="122" t="s">
        <v>233</v>
      </c>
      <c r="AI28" s="122" t="s">
        <v>233</v>
      </c>
      <c r="AJ28" s="122" t="s">
        <v>233</v>
      </c>
      <c r="AK28" s="122" t="s">
        <v>233</v>
      </c>
      <c r="AL28" s="122" t="s">
        <v>233</v>
      </c>
      <c r="AM28" s="122" t="s">
        <v>233</v>
      </c>
      <c r="AN28" s="122" t="s">
        <v>233</v>
      </c>
      <c r="AO28" s="122" t="s">
        <v>233</v>
      </c>
      <c r="AP28" s="122" t="s">
        <v>233</v>
      </c>
      <c r="AQ28" s="122" t="s">
        <v>233</v>
      </c>
    </row>
    <row r="29" spans="2:43" ht="21" thickBot="1">
      <c r="B29" s="305" t="s">
        <v>235</v>
      </c>
      <c r="C29" s="306"/>
      <c r="D29" s="134" t="str">
        <f>IF(D$30=0,"",IF(D$25="SI","Catastrófico",IF(D$30&lt;6,"Moderado",IF(D$30&lt;12,"Mayor",IF(D$30&lt;20,"Catastrófico","")))))</f>
        <v>Moderado</v>
      </c>
      <c r="E29" s="134" t="str">
        <f aca="true" t="shared" si="0" ref="E29:AQ29">IF(E$30=0,"",IF(E$25="SI","Catastrófico",IF(E$30&lt;6,"Moderado",IF(E$30&lt;12,"Mayor",IF(E$30&lt;20,"Catastrófico","")))))</f>
        <v>Mayor</v>
      </c>
      <c r="F29" s="134" t="str">
        <f t="shared" si="0"/>
        <v>Mayor</v>
      </c>
      <c r="G29" s="134" t="str">
        <f t="shared" si="0"/>
        <v>Mayor</v>
      </c>
      <c r="H29" s="134" t="str">
        <f t="shared" si="0"/>
        <v>Mayor</v>
      </c>
      <c r="I29" s="134" t="str">
        <f t="shared" si="0"/>
        <v>Mayor</v>
      </c>
      <c r="J29" s="134" t="str">
        <f t="shared" si="0"/>
        <v>Mayor</v>
      </c>
      <c r="K29" s="134" t="str">
        <f t="shared" si="0"/>
        <v>Mayor</v>
      </c>
      <c r="L29" s="134" t="str">
        <f t="shared" si="0"/>
        <v>Mayor</v>
      </c>
      <c r="M29" s="134" t="str">
        <f t="shared" si="0"/>
        <v>Mayor</v>
      </c>
      <c r="N29" s="134" t="str">
        <f t="shared" si="0"/>
        <v>Mayor</v>
      </c>
      <c r="O29" s="134" t="str">
        <f t="shared" si="0"/>
        <v>Catastrófico</v>
      </c>
      <c r="P29" s="134" t="str">
        <f t="shared" si="0"/>
        <v>Catastrófico</v>
      </c>
      <c r="Q29" s="134" t="str">
        <f t="shared" si="0"/>
        <v>Mayor</v>
      </c>
      <c r="R29" s="134" t="str">
        <f t="shared" si="0"/>
        <v>Mayor</v>
      </c>
      <c r="S29" s="134" t="str">
        <f t="shared" si="0"/>
        <v>Catastrófico</v>
      </c>
      <c r="T29" s="134" t="str">
        <f t="shared" si="0"/>
        <v>Catastrófico</v>
      </c>
      <c r="U29" s="134" t="str">
        <f t="shared" si="0"/>
        <v>Mayor</v>
      </c>
      <c r="V29" s="134" t="str">
        <f t="shared" si="0"/>
        <v>Mayor</v>
      </c>
      <c r="W29" s="134" t="str">
        <f t="shared" si="0"/>
        <v>Mayor</v>
      </c>
      <c r="X29" s="134" t="str">
        <f t="shared" si="0"/>
        <v>Mayor</v>
      </c>
      <c r="Y29" s="134" t="str">
        <f t="shared" si="0"/>
        <v>Mayor</v>
      </c>
      <c r="Z29" s="134" t="str">
        <f t="shared" si="0"/>
        <v>Mayor</v>
      </c>
      <c r="AA29" s="134" t="str">
        <f t="shared" si="0"/>
        <v>Mayor</v>
      </c>
      <c r="AB29" s="134" t="str">
        <f t="shared" si="0"/>
        <v>Catastrófico</v>
      </c>
      <c r="AC29" s="134" t="str">
        <f t="shared" si="0"/>
        <v>Catastrófico</v>
      </c>
      <c r="AD29" s="134" t="str">
        <f t="shared" si="0"/>
        <v>Mayor</v>
      </c>
      <c r="AE29" s="134" t="str">
        <f t="shared" si="0"/>
        <v>Mayor</v>
      </c>
      <c r="AF29" s="134" t="str">
        <f t="shared" si="0"/>
        <v>Mayor</v>
      </c>
      <c r="AG29" s="134" t="str">
        <f t="shared" si="0"/>
        <v>Mayor</v>
      </c>
      <c r="AH29" s="134" t="str">
        <f t="shared" si="0"/>
        <v>Mayor</v>
      </c>
      <c r="AI29" s="134" t="str">
        <f t="shared" si="0"/>
        <v>Mayor</v>
      </c>
      <c r="AJ29" s="134" t="str">
        <f t="shared" si="0"/>
        <v>Catastrófico</v>
      </c>
      <c r="AK29" s="134" t="str">
        <f t="shared" si="0"/>
        <v>Catastrófico</v>
      </c>
      <c r="AL29" s="134" t="str">
        <f t="shared" si="0"/>
        <v>Catastrófico</v>
      </c>
      <c r="AM29" s="134" t="str">
        <f t="shared" si="0"/>
        <v>Mayor</v>
      </c>
      <c r="AN29" s="134" t="str">
        <f t="shared" si="0"/>
        <v>Mayor</v>
      </c>
      <c r="AO29" s="134" t="str">
        <f t="shared" si="0"/>
        <v>Mayor</v>
      </c>
      <c r="AP29" s="134" t="str">
        <f t="shared" si="0"/>
        <v>Mayor</v>
      </c>
      <c r="AQ29" s="134" t="str">
        <f t="shared" si="0"/>
        <v>Mayor</v>
      </c>
    </row>
    <row r="30" spans="2:43" ht="15.75">
      <c r="B30" s="301" t="s">
        <v>169</v>
      </c>
      <c r="C30" s="302"/>
      <c r="D30" s="135">
        <f>COUNTIF(D10:D28,"SI")</f>
        <v>5</v>
      </c>
      <c r="E30" s="135">
        <f aca="true" t="shared" si="1" ref="E30:N30">COUNTIF(E10:E28,"SI")</f>
        <v>10</v>
      </c>
      <c r="F30" s="135">
        <f t="shared" si="1"/>
        <v>7</v>
      </c>
      <c r="G30" s="135">
        <f t="shared" si="1"/>
        <v>8</v>
      </c>
      <c r="H30" s="135">
        <f t="shared" si="1"/>
        <v>10</v>
      </c>
      <c r="I30" s="135">
        <f t="shared" si="1"/>
        <v>10</v>
      </c>
      <c r="J30" s="135">
        <f t="shared" si="1"/>
        <v>11</v>
      </c>
      <c r="K30" s="135">
        <f t="shared" si="1"/>
        <v>8</v>
      </c>
      <c r="L30" s="135">
        <f t="shared" si="1"/>
        <v>10</v>
      </c>
      <c r="M30" s="135">
        <f t="shared" si="1"/>
        <v>11</v>
      </c>
      <c r="N30" s="135">
        <f t="shared" si="1"/>
        <v>9</v>
      </c>
      <c r="O30" s="135">
        <f aca="true" t="shared" si="2" ref="O30:V30">COUNTIF(O10:O28,"SI")</f>
        <v>17</v>
      </c>
      <c r="P30" s="135">
        <f t="shared" si="2"/>
        <v>16</v>
      </c>
      <c r="Q30" s="135">
        <f t="shared" si="2"/>
        <v>9</v>
      </c>
      <c r="R30" s="135">
        <f t="shared" si="2"/>
        <v>11</v>
      </c>
      <c r="S30" s="135">
        <f t="shared" si="2"/>
        <v>15</v>
      </c>
      <c r="T30" s="135">
        <f t="shared" si="2"/>
        <v>15</v>
      </c>
      <c r="U30" s="135">
        <f t="shared" si="2"/>
        <v>11</v>
      </c>
      <c r="V30" s="135">
        <f t="shared" si="2"/>
        <v>8</v>
      </c>
      <c r="W30" s="135">
        <f aca="true" t="shared" si="3" ref="W30:AQ30">COUNTIF(W10:W28,"SI")</f>
        <v>8</v>
      </c>
      <c r="X30" s="135">
        <f t="shared" si="3"/>
        <v>9</v>
      </c>
      <c r="Y30" s="135">
        <f t="shared" si="3"/>
        <v>11</v>
      </c>
      <c r="Z30" s="135">
        <f t="shared" si="3"/>
        <v>11</v>
      </c>
      <c r="AA30" s="135">
        <f t="shared" si="3"/>
        <v>8</v>
      </c>
      <c r="AB30" s="135">
        <f t="shared" si="3"/>
        <v>14</v>
      </c>
      <c r="AC30" s="135">
        <f t="shared" si="3"/>
        <v>12</v>
      </c>
      <c r="AD30" s="135">
        <f t="shared" si="3"/>
        <v>10</v>
      </c>
      <c r="AE30" s="135">
        <f t="shared" si="3"/>
        <v>10</v>
      </c>
      <c r="AF30" s="135">
        <f t="shared" si="3"/>
        <v>9</v>
      </c>
      <c r="AG30" s="135">
        <f t="shared" si="3"/>
        <v>9</v>
      </c>
      <c r="AH30" s="135">
        <f t="shared" si="3"/>
        <v>10</v>
      </c>
      <c r="AI30" s="135">
        <f t="shared" si="3"/>
        <v>10</v>
      </c>
      <c r="AJ30" s="135">
        <f t="shared" si="3"/>
        <v>17</v>
      </c>
      <c r="AK30" s="135">
        <f t="shared" si="3"/>
        <v>17</v>
      </c>
      <c r="AL30" s="135">
        <f t="shared" si="3"/>
        <v>16</v>
      </c>
      <c r="AM30" s="135">
        <f t="shared" si="3"/>
        <v>7</v>
      </c>
      <c r="AN30" s="135">
        <f t="shared" si="3"/>
        <v>10</v>
      </c>
      <c r="AO30" s="135">
        <f t="shared" si="3"/>
        <v>11</v>
      </c>
      <c r="AP30" s="135">
        <f t="shared" si="3"/>
        <v>10</v>
      </c>
      <c r="AQ30" s="135">
        <f t="shared" si="3"/>
        <v>10</v>
      </c>
    </row>
    <row r="31" spans="2:43" ht="16.5" thickBot="1">
      <c r="B31" s="303" t="s">
        <v>170</v>
      </c>
      <c r="C31" s="304"/>
      <c r="D31" s="136">
        <f>COUNTIF(D11:D30,"NO")</f>
        <v>13</v>
      </c>
      <c r="E31" s="136">
        <f aca="true" t="shared" si="4" ref="E31:N31">COUNTIF(E11:E30,"NO")</f>
        <v>9</v>
      </c>
      <c r="F31" s="136">
        <f t="shared" si="4"/>
        <v>11</v>
      </c>
      <c r="G31" s="136">
        <f t="shared" si="4"/>
        <v>11</v>
      </c>
      <c r="H31" s="136">
        <f t="shared" si="4"/>
        <v>9</v>
      </c>
      <c r="I31" s="136">
        <f t="shared" si="4"/>
        <v>9</v>
      </c>
      <c r="J31" s="136">
        <f t="shared" si="4"/>
        <v>8</v>
      </c>
      <c r="K31" s="136">
        <f t="shared" si="4"/>
        <v>11</v>
      </c>
      <c r="L31" s="136">
        <f t="shared" si="4"/>
        <v>9</v>
      </c>
      <c r="M31" s="136">
        <f t="shared" si="4"/>
        <v>8</v>
      </c>
      <c r="N31" s="136">
        <f t="shared" si="4"/>
        <v>10</v>
      </c>
      <c r="O31" s="136">
        <f aca="true" t="shared" si="5" ref="O31:V31">COUNTIF(O11:O30,"NO")</f>
        <v>2</v>
      </c>
      <c r="P31" s="136">
        <f t="shared" si="5"/>
        <v>3</v>
      </c>
      <c r="Q31" s="136">
        <f t="shared" si="5"/>
        <v>10</v>
      </c>
      <c r="R31" s="136">
        <f t="shared" si="5"/>
        <v>8</v>
      </c>
      <c r="S31" s="136">
        <f t="shared" si="5"/>
        <v>4</v>
      </c>
      <c r="T31" s="136">
        <f t="shared" si="5"/>
        <v>4</v>
      </c>
      <c r="U31" s="136">
        <f t="shared" si="5"/>
        <v>8</v>
      </c>
      <c r="V31" s="136">
        <f t="shared" si="5"/>
        <v>11</v>
      </c>
      <c r="W31" s="136">
        <f aca="true" t="shared" si="6" ref="W31:AQ31">COUNTIF(W11:W30,"NO")</f>
        <v>11</v>
      </c>
      <c r="X31" s="136">
        <f t="shared" si="6"/>
        <v>10</v>
      </c>
      <c r="Y31" s="136">
        <f t="shared" si="6"/>
        <v>8</v>
      </c>
      <c r="Z31" s="136">
        <f t="shared" si="6"/>
        <v>8</v>
      </c>
      <c r="AA31" s="136">
        <f t="shared" si="6"/>
        <v>11</v>
      </c>
      <c r="AB31" s="136">
        <f t="shared" si="6"/>
        <v>5</v>
      </c>
      <c r="AC31" s="136">
        <f t="shared" si="6"/>
        <v>7</v>
      </c>
      <c r="AD31" s="136">
        <f t="shared" si="6"/>
        <v>9</v>
      </c>
      <c r="AE31" s="136">
        <f t="shared" si="6"/>
        <v>9</v>
      </c>
      <c r="AF31" s="136">
        <f t="shared" si="6"/>
        <v>10</v>
      </c>
      <c r="AG31" s="136">
        <f t="shared" si="6"/>
        <v>10</v>
      </c>
      <c r="AH31" s="136">
        <f t="shared" si="6"/>
        <v>9</v>
      </c>
      <c r="AI31" s="136">
        <f t="shared" si="6"/>
        <v>9</v>
      </c>
      <c r="AJ31" s="136">
        <f t="shared" si="6"/>
        <v>2</v>
      </c>
      <c r="AK31" s="136">
        <f t="shared" si="6"/>
        <v>2</v>
      </c>
      <c r="AL31" s="136">
        <f t="shared" si="6"/>
        <v>3</v>
      </c>
      <c r="AM31" s="136">
        <f t="shared" si="6"/>
        <v>12</v>
      </c>
      <c r="AN31" s="136">
        <f t="shared" si="6"/>
        <v>9</v>
      </c>
      <c r="AO31" s="136">
        <f t="shared" si="6"/>
        <v>8</v>
      </c>
      <c r="AP31" s="136">
        <f t="shared" si="6"/>
        <v>9</v>
      </c>
      <c r="AQ31" s="136">
        <f t="shared" si="6"/>
        <v>9</v>
      </c>
    </row>
    <row r="32" ht="15.75" thickBot="1"/>
    <row r="33" spans="2:5" ht="91.5" customHeight="1" thickBot="1">
      <c r="B33" s="290" t="s">
        <v>171</v>
      </c>
      <c r="C33" s="291"/>
      <c r="D33" s="291"/>
      <c r="E33" s="292"/>
    </row>
    <row r="34" spans="2:5" ht="15">
      <c r="B34" s="137" t="s">
        <v>172</v>
      </c>
      <c r="C34" s="293" t="s">
        <v>173</v>
      </c>
      <c r="D34" s="294"/>
      <c r="E34" s="295"/>
    </row>
    <row r="35" spans="2:5" ht="15">
      <c r="B35" s="138" t="s">
        <v>174</v>
      </c>
      <c r="C35" s="296" t="s">
        <v>175</v>
      </c>
      <c r="D35" s="297"/>
      <c r="E35" s="298"/>
    </row>
    <row r="36" spans="2:5" ht="22.5">
      <c r="B36" s="138" t="s">
        <v>176</v>
      </c>
      <c r="C36" s="296" t="s">
        <v>177</v>
      </c>
      <c r="D36" s="297"/>
      <c r="E36" s="298"/>
    </row>
    <row r="38" spans="1:13" ht="15">
      <c r="A38" s="279" t="s">
        <v>223</v>
      </c>
      <c r="B38" s="279"/>
      <c r="C38" s="279"/>
      <c r="D38" s="279"/>
      <c r="E38" s="279"/>
      <c r="F38" s="279" t="s">
        <v>213</v>
      </c>
      <c r="G38" s="279"/>
      <c r="H38" s="100"/>
      <c r="I38" s="100"/>
      <c r="J38" s="279" t="s">
        <v>214</v>
      </c>
      <c r="K38" s="279"/>
      <c r="L38" s="279" t="s">
        <v>215</v>
      </c>
      <c r="M38" s="279"/>
    </row>
    <row r="39" spans="1:13" ht="15">
      <c r="A39" s="101" t="s">
        <v>216</v>
      </c>
      <c r="B39" s="100" t="s">
        <v>217</v>
      </c>
      <c r="C39" s="279" t="s">
        <v>218</v>
      </c>
      <c r="D39" s="279"/>
      <c r="E39" s="279"/>
      <c r="F39" s="280" t="s">
        <v>219</v>
      </c>
      <c r="G39" s="280"/>
      <c r="H39" s="102"/>
      <c r="I39" s="102"/>
      <c r="J39" s="280" t="s">
        <v>219</v>
      </c>
      <c r="K39" s="280"/>
      <c r="L39" s="280" t="s">
        <v>219</v>
      </c>
      <c r="M39" s="280"/>
    </row>
    <row r="40" spans="1:13" ht="15">
      <c r="A40" s="276"/>
      <c r="B40" s="281"/>
      <c r="C40" s="278"/>
      <c r="D40" s="278"/>
      <c r="E40" s="278"/>
      <c r="F40" s="280" t="s">
        <v>220</v>
      </c>
      <c r="G40" s="280"/>
      <c r="H40" s="102"/>
      <c r="I40" s="102"/>
      <c r="J40" s="280" t="s">
        <v>220</v>
      </c>
      <c r="K40" s="280"/>
      <c r="L40" s="280" t="s">
        <v>221</v>
      </c>
      <c r="M40" s="280"/>
    </row>
    <row r="41" spans="1:13" ht="15">
      <c r="A41" s="276"/>
      <c r="B41" s="282"/>
      <c r="C41" s="278"/>
      <c r="D41" s="278"/>
      <c r="E41" s="278"/>
      <c r="F41" s="280" t="s">
        <v>222</v>
      </c>
      <c r="G41" s="280"/>
      <c r="H41" s="102"/>
      <c r="I41" s="102"/>
      <c r="J41" s="280" t="s">
        <v>222</v>
      </c>
      <c r="K41" s="280"/>
      <c r="L41" s="280" t="s">
        <v>222</v>
      </c>
      <c r="M41" s="280"/>
    </row>
  </sheetData>
  <sheetProtection formatCells="0" formatColumns="0" formatRows="0" insertColumns="0" insertRows="0" insertHyperlinks="0" deleteColumns="0" deleteRows="0" sort="0" autoFilter="0" pivotTables="0"/>
  <protectedRanges>
    <protectedRange sqref="F39:M41" name="Rango4_2"/>
    <protectedRange sqref="A40:E40" name="Rango3_2"/>
  </protectedRanges>
  <mergeCells count="34">
    <mergeCell ref="C35:E35"/>
    <mergeCell ref="C36:E36"/>
    <mergeCell ref="D7:AQ7"/>
    <mergeCell ref="B30:C30"/>
    <mergeCell ref="B31:C31"/>
    <mergeCell ref="B29:C29"/>
    <mergeCell ref="L38:M38"/>
    <mergeCell ref="C6:AQ6"/>
    <mergeCell ref="C1:M1"/>
    <mergeCell ref="C2:M2"/>
    <mergeCell ref="D3:F3"/>
    <mergeCell ref="G3:J3"/>
    <mergeCell ref="K3:M3"/>
    <mergeCell ref="N1:AQ3"/>
    <mergeCell ref="B33:E33"/>
    <mergeCell ref="C34:E34"/>
    <mergeCell ref="C39:E39"/>
    <mergeCell ref="F39:G39"/>
    <mergeCell ref="J39:K39"/>
    <mergeCell ref="L39:M39"/>
    <mergeCell ref="L40:M40"/>
    <mergeCell ref="A1:B3"/>
    <mergeCell ref="A4:AQ4"/>
    <mergeCell ref="A38:E38"/>
    <mergeCell ref="F38:G38"/>
    <mergeCell ref="J38:K38"/>
    <mergeCell ref="F41:G41"/>
    <mergeCell ref="J41:K41"/>
    <mergeCell ref="L41:M41"/>
    <mergeCell ref="A40:A41"/>
    <mergeCell ref="B40:B41"/>
    <mergeCell ref="C40:E41"/>
    <mergeCell ref="F40:G40"/>
    <mergeCell ref="J40:K40"/>
  </mergeCells>
  <conditionalFormatting sqref="B33">
    <cfRule type="cellIs" priority="16" dxfId="28" operator="between">
      <formula>1</formula>
      <formula>5</formula>
    </cfRule>
  </conditionalFormatting>
  <printOptions/>
  <pageMargins left="0.7" right="0.7" top="0.75" bottom="0.75" header="0.3" footer="0.3"/>
  <pageSetup orientation="portrait" r:id="rId2"/>
  <drawing r:id="rId1"/>
</worksheet>
</file>

<file path=xl/worksheets/sheet3.xml><?xml version="1.0" encoding="utf-8"?>
<worksheet xmlns="http://schemas.openxmlformats.org/spreadsheetml/2006/main" xmlns:r="http://schemas.openxmlformats.org/officeDocument/2006/relationships">
  <dimension ref="A1:AX22"/>
  <sheetViews>
    <sheetView zoomScalePageLayoutView="0" workbookViewId="0" topLeftCell="A1">
      <selection activeCell="A7" sqref="A7"/>
    </sheetView>
  </sheetViews>
  <sheetFormatPr defaultColWidth="11.421875" defaultRowHeight="15"/>
  <cols>
    <col min="1" max="1" width="67.421875" style="0" customWidth="1"/>
    <col min="2" max="2" width="42.421875" style="0" bestFit="1" customWidth="1"/>
    <col min="3" max="4" width="37.7109375" style="0" customWidth="1"/>
    <col min="5" max="5" width="38.00390625" style="0" customWidth="1"/>
    <col min="6" max="7" width="37.7109375" style="0" customWidth="1"/>
    <col min="8" max="10" width="15.7109375" style="0" customWidth="1"/>
    <col min="11" max="11" width="10.421875" style="0" bestFit="1" customWidth="1"/>
    <col min="12" max="12" width="12.140625" style="0" bestFit="1" customWidth="1"/>
    <col min="13" max="13" width="18.28125" style="0" bestFit="1" customWidth="1"/>
    <col min="14" max="14" width="18.28125" style="0" customWidth="1"/>
    <col min="15" max="15" width="24.421875" style="0" bestFit="1" customWidth="1"/>
    <col min="16" max="16" width="23.8515625" style="0" customWidth="1"/>
    <col min="17" max="17" width="9.140625" style="0" bestFit="1" customWidth="1"/>
    <col min="21" max="21" width="11.8515625" style="0" bestFit="1" customWidth="1"/>
    <col min="23" max="23" width="12.7109375" style="0" customWidth="1"/>
    <col min="24" max="24" width="7.421875" style="0" customWidth="1"/>
    <col min="27" max="27" width="7.421875" style="0" customWidth="1"/>
    <col min="28" max="28" width="34.8515625" style="0" customWidth="1"/>
    <col min="29" max="29" width="13.7109375" style="0" customWidth="1"/>
    <col min="30" max="31" width="14.421875" style="0" customWidth="1"/>
    <col min="32" max="32" width="10.140625" style="0" customWidth="1"/>
    <col min="33" max="33" width="15.140625" style="0" customWidth="1"/>
    <col min="34" max="34" width="13.421875" style="0" customWidth="1"/>
    <col min="35" max="35" width="19.8515625" style="0" customWidth="1"/>
    <col min="43" max="43" width="77.7109375" style="0" customWidth="1"/>
    <col min="47" max="47" width="16.421875" style="0" bestFit="1" customWidth="1"/>
  </cols>
  <sheetData>
    <row r="1" spans="1:50" ht="38.25" customHeight="1" thickBot="1">
      <c r="A1" s="1" t="s">
        <v>11</v>
      </c>
      <c r="B1" s="1" t="s">
        <v>12</v>
      </c>
      <c r="C1" s="68" t="s">
        <v>123</v>
      </c>
      <c r="D1" s="1" t="s">
        <v>182</v>
      </c>
      <c r="E1" s="1" t="s">
        <v>1</v>
      </c>
      <c r="F1" s="1" t="s">
        <v>95</v>
      </c>
      <c r="G1" s="1" t="s">
        <v>13</v>
      </c>
      <c r="H1" s="5" t="s">
        <v>2</v>
      </c>
      <c r="I1" t="s">
        <v>6</v>
      </c>
      <c r="J1" s="5" t="s">
        <v>7</v>
      </c>
      <c r="K1" s="5" t="s">
        <v>8</v>
      </c>
      <c r="L1" s="5" t="s">
        <v>9</v>
      </c>
      <c r="M1" s="5" t="s">
        <v>10</v>
      </c>
      <c r="N1" s="5" t="s">
        <v>4</v>
      </c>
      <c r="O1" s="5" t="s">
        <v>5</v>
      </c>
      <c r="P1" s="2" t="s">
        <v>14</v>
      </c>
      <c r="Q1" s="8"/>
      <c r="R1" s="8"/>
      <c r="S1" s="10" t="s">
        <v>47</v>
      </c>
      <c r="T1" s="10" t="s">
        <v>15</v>
      </c>
      <c r="U1" s="10" t="s">
        <v>16</v>
      </c>
      <c r="V1" s="10" t="s">
        <v>17</v>
      </c>
      <c r="W1" s="10" t="s">
        <v>18</v>
      </c>
      <c r="AB1" s="325" t="s">
        <v>60</v>
      </c>
      <c r="AC1" s="326"/>
      <c r="AD1" s="326"/>
      <c r="AE1" s="327"/>
      <c r="AG1" s="311" t="s">
        <v>121</v>
      </c>
      <c r="AH1" s="312"/>
      <c r="AI1" s="312"/>
      <c r="AN1" s="313" t="s">
        <v>98</v>
      </c>
      <c r="AO1" s="314"/>
      <c r="AP1" s="314"/>
      <c r="AQ1" s="314"/>
      <c r="AR1" s="315"/>
      <c r="AX1" s="2" t="s">
        <v>231</v>
      </c>
    </row>
    <row r="2" spans="1:50" ht="31.5" thickBot="1" thickTop="1">
      <c r="A2" s="3" t="s">
        <v>247</v>
      </c>
      <c r="B2" s="3" t="s">
        <v>19</v>
      </c>
      <c r="C2" t="s">
        <v>258</v>
      </c>
      <c r="D2" t="s">
        <v>183</v>
      </c>
      <c r="E2" t="s">
        <v>196</v>
      </c>
      <c r="F2" s="24" t="s">
        <v>69</v>
      </c>
      <c r="G2" t="s">
        <v>53</v>
      </c>
      <c r="H2" s="6" t="s">
        <v>62</v>
      </c>
      <c r="I2" t="s">
        <v>80</v>
      </c>
      <c r="J2" s="6" t="s">
        <v>83</v>
      </c>
      <c r="K2" s="6" t="s">
        <v>85</v>
      </c>
      <c r="L2" s="6" t="s">
        <v>87</v>
      </c>
      <c r="M2" s="6" t="s">
        <v>89</v>
      </c>
      <c r="N2" s="6" t="s">
        <v>28</v>
      </c>
      <c r="O2" s="6" t="s">
        <v>93</v>
      </c>
      <c r="P2" t="s">
        <v>20</v>
      </c>
      <c r="Q2" s="8"/>
      <c r="R2" s="8"/>
      <c r="S2" s="8" t="str">
        <f>MID(ADDRESS(ROW(S1),COLUMN(S1),4),1,1)</f>
        <v>S</v>
      </c>
      <c r="T2" s="8" t="str">
        <f>MID(ADDRESS(ROW(T1),COLUMN(T1),4),1,1)</f>
        <v>T</v>
      </c>
      <c r="U2" s="8" t="str">
        <f>MID(ADDRESS(ROW(U1),COLUMN(U1),4),1,1)</f>
        <v>U</v>
      </c>
      <c r="V2" s="8" t="str">
        <f>MID(ADDRESS(ROW(V1),COLUMN(V1),4),1,1)</f>
        <v>V</v>
      </c>
      <c r="W2" s="8" t="str">
        <f>MID(ADDRESS(ROW(W1),COLUMN(W1),4),1,1)</f>
        <v>W</v>
      </c>
      <c r="AB2" s="39" t="s">
        <v>61</v>
      </c>
      <c r="AC2" s="20" t="s">
        <v>96</v>
      </c>
      <c r="AD2" s="20" t="s">
        <v>9</v>
      </c>
      <c r="AE2" s="32" t="s">
        <v>97</v>
      </c>
      <c r="AG2" s="20" t="s">
        <v>77</v>
      </c>
      <c r="AH2" s="20" t="s">
        <v>62</v>
      </c>
      <c r="AI2" s="20" t="s">
        <v>71</v>
      </c>
      <c r="AN2" s="316" t="s">
        <v>99</v>
      </c>
      <c r="AO2" s="317"/>
      <c r="AP2" s="317"/>
      <c r="AQ2" s="70" t="s">
        <v>100</v>
      </c>
      <c r="AR2" s="53" t="s">
        <v>101</v>
      </c>
      <c r="AX2" t="s">
        <v>232</v>
      </c>
    </row>
    <row r="3" spans="1:50" ht="45">
      <c r="A3" s="3" t="s">
        <v>248</v>
      </c>
      <c r="B3" s="3" t="s">
        <v>21</v>
      </c>
      <c r="C3" t="s">
        <v>269</v>
      </c>
      <c r="D3" t="s">
        <v>184</v>
      </c>
      <c r="E3" t="s">
        <v>197</v>
      </c>
      <c r="F3" s="38" t="s">
        <v>75</v>
      </c>
      <c r="G3" t="s">
        <v>54</v>
      </c>
      <c r="H3" s="7" t="s">
        <v>0</v>
      </c>
      <c r="I3" t="s">
        <v>81</v>
      </c>
      <c r="J3" s="7" t="s">
        <v>84</v>
      </c>
      <c r="K3" s="7" t="s">
        <v>86</v>
      </c>
      <c r="L3" s="7" t="s">
        <v>88</v>
      </c>
      <c r="M3" s="7" t="s">
        <v>90</v>
      </c>
      <c r="N3" s="7" t="s">
        <v>26</v>
      </c>
      <c r="O3" s="7" t="s">
        <v>94</v>
      </c>
      <c r="P3" t="s">
        <v>22</v>
      </c>
      <c r="Q3" s="10" t="s">
        <v>48</v>
      </c>
      <c r="R3" s="8">
        <f>ROW(Q3)</f>
        <v>3</v>
      </c>
      <c r="S3" s="9" t="s">
        <v>23</v>
      </c>
      <c r="T3" s="9" t="s">
        <v>23</v>
      </c>
      <c r="U3" s="9" t="s">
        <v>23</v>
      </c>
      <c r="V3" s="9" t="s">
        <v>23</v>
      </c>
      <c r="W3" s="9" t="s">
        <v>24</v>
      </c>
      <c r="Y3" s="11" t="s">
        <v>24</v>
      </c>
      <c r="AB3" s="40" t="s">
        <v>63</v>
      </c>
      <c r="AC3" s="21">
        <v>0.2</v>
      </c>
      <c r="AD3" s="8">
        <v>2</v>
      </c>
      <c r="AE3" s="41" t="s">
        <v>51</v>
      </c>
      <c r="AG3" s="8">
        <v>25</v>
      </c>
      <c r="AH3" s="8" t="str">
        <f>VLOOKUP(AI3,datos!$AC$2:$AE$7,3,0)</f>
        <v>Media</v>
      </c>
      <c r="AI3" s="50">
        <f>+IF(OR(AG3="",AG3=0),"",IF(AG3&lt;=datos!$AD$3,datos!$AC$3,IF(AND(AG3&gt;datos!$AD$3,AG3&lt;=datos!$AD$4),datos!$AC$4,IF(AND(AG3&gt;datos!$AD$4,AG3&lt;=datos!$AD$5),datos!$AC$5,IF(AND(AG3&gt;datos!$AD$5,AG3&lt;=datos!$AD$6),datos!$AC$6,IF(AG3&gt;datos!$AD$7,datos!$AC$7,0))))))</f>
        <v>0.6</v>
      </c>
      <c r="AN3" s="318" t="s">
        <v>102</v>
      </c>
      <c r="AO3" s="320" t="s">
        <v>6</v>
      </c>
      <c r="AP3" s="71" t="s">
        <v>80</v>
      </c>
      <c r="AQ3" s="54" t="s">
        <v>103</v>
      </c>
      <c r="AR3" s="55">
        <v>0.25</v>
      </c>
      <c r="AT3" t="s">
        <v>118</v>
      </c>
      <c r="AU3" t="s">
        <v>119</v>
      </c>
      <c r="AV3" t="s">
        <v>117</v>
      </c>
      <c r="AX3" t="s">
        <v>233</v>
      </c>
    </row>
    <row r="4" spans="1:48" ht="31.5">
      <c r="A4" s="3" t="s">
        <v>249</v>
      </c>
      <c r="B4" s="3" t="s">
        <v>25</v>
      </c>
      <c r="C4" t="s">
        <v>259</v>
      </c>
      <c r="D4" t="s">
        <v>185</v>
      </c>
      <c r="E4" t="s">
        <v>198</v>
      </c>
      <c r="F4" s="38" t="s">
        <v>76</v>
      </c>
      <c r="G4" t="s">
        <v>55</v>
      </c>
      <c r="I4" t="s">
        <v>82</v>
      </c>
      <c r="N4" s="6" t="s">
        <v>91</v>
      </c>
      <c r="P4" t="s">
        <v>26</v>
      </c>
      <c r="Q4" s="10" t="s">
        <v>49</v>
      </c>
      <c r="R4" s="8">
        <f>ROW(Q4)</f>
        <v>4</v>
      </c>
      <c r="S4" s="9" t="s">
        <v>16</v>
      </c>
      <c r="T4" s="9" t="s">
        <v>16</v>
      </c>
      <c r="U4" s="9" t="s">
        <v>23</v>
      </c>
      <c r="V4" s="9" t="s">
        <v>23</v>
      </c>
      <c r="W4" s="9" t="s">
        <v>24</v>
      </c>
      <c r="Y4" s="12" t="s">
        <v>23</v>
      </c>
      <c r="AB4" s="40" t="s">
        <v>64</v>
      </c>
      <c r="AC4" s="21">
        <v>0.4</v>
      </c>
      <c r="AD4" s="8">
        <v>24</v>
      </c>
      <c r="AE4" s="42" t="s">
        <v>50</v>
      </c>
      <c r="AH4" s="20" t="s">
        <v>71</v>
      </c>
      <c r="AI4" s="20" t="s">
        <v>122</v>
      </c>
      <c r="AN4" s="319"/>
      <c r="AO4" s="321"/>
      <c r="AP4" s="72" t="s">
        <v>81</v>
      </c>
      <c r="AQ4" s="56" t="s">
        <v>104</v>
      </c>
      <c r="AR4" s="57">
        <v>0.15</v>
      </c>
      <c r="AT4" t="s">
        <v>82</v>
      </c>
      <c r="AU4" t="s">
        <v>83</v>
      </c>
      <c r="AV4" s="61">
        <f>IF(AT4="",0,VLOOKUP(AT4,datos!$AP$3:$AR$7,3,0))+IF(AU4="",0,VLOOKUP(AU4,datos!$AP$3:$AR$7,3,0))</f>
        <v>0.35</v>
      </c>
    </row>
    <row r="5" spans="1:44" ht="32.25" thickBot="1">
      <c r="A5" s="3" t="s">
        <v>250</v>
      </c>
      <c r="B5" s="3" t="s">
        <v>27</v>
      </c>
      <c r="C5" t="s">
        <v>260</v>
      </c>
      <c r="D5" t="s">
        <v>186</v>
      </c>
      <c r="E5" t="s">
        <v>56</v>
      </c>
      <c r="F5" s="38" t="s">
        <v>72</v>
      </c>
      <c r="N5" s="7" t="s">
        <v>92</v>
      </c>
      <c r="Q5" s="10" t="s">
        <v>52</v>
      </c>
      <c r="R5" s="8">
        <f>ROW(Q5)</f>
        <v>5</v>
      </c>
      <c r="S5" s="9" t="s">
        <v>16</v>
      </c>
      <c r="T5" s="9" t="s">
        <v>16</v>
      </c>
      <c r="U5" s="9" t="s">
        <v>16</v>
      </c>
      <c r="V5" s="9" t="s">
        <v>23</v>
      </c>
      <c r="W5" s="9" t="s">
        <v>24</v>
      </c>
      <c r="Y5" s="13" t="s">
        <v>16</v>
      </c>
      <c r="AB5" s="40" t="s">
        <v>65</v>
      </c>
      <c r="AC5" s="21">
        <v>0.6</v>
      </c>
      <c r="AD5" s="8">
        <v>500</v>
      </c>
      <c r="AE5" s="43" t="s">
        <v>52</v>
      </c>
      <c r="AH5" s="62" t="str">
        <f>+IF(AI5&lt;=datos!$AC$3,datos!$AE$3,IF(AI5&lt;=datos!$AC$4,datos!$AE$4,IF(AI5&lt;=datos!$AC$5,datos!$AE$5,IF(AI5&lt;=datos!$AC$6,datos!$AE$6,IF(AI5&lt;=datos!$AC$7,datos!$AE$7,"")))))</f>
        <v>Baja</v>
      </c>
      <c r="AI5" s="62">
        <v>0.36</v>
      </c>
      <c r="AN5" s="319"/>
      <c r="AO5" s="321"/>
      <c r="AP5" s="72" t="s">
        <v>82</v>
      </c>
      <c r="AQ5" s="56" t="s">
        <v>105</v>
      </c>
      <c r="AR5" s="57">
        <v>0.1</v>
      </c>
    </row>
    <row r="6" spans="1:47" ht="47.25">
      <c r="A6" s="3"/>
      <c r="B6" s="3" t="s">
        <v>30</v>
      </c>
      <c r="C6" t="s">
        <v>261</v>
      </c>
      <c r="D6" t="s">
        <v>187</v>
      </c>
      <c r="E6" t="s">
        <v>57</v>
      </c>
      <c r="F6" s="38" t="s">
        <v>73</v>
      </c>
      <c r="Q6" s="10" t="s">
        <v>50</v>
      </c>
      <c r="R6" s="8">
        <f>ROW(Q6)</f>
        <v>6</v>
      </c>
      <c r="S6" s="9" t="s">
        <v>29</v>
      </c>
      <c r="T6" s="9" t="s">
        <v>16</v>
      </c>
      <c r="U6" s="9" t="s">
        <v>16</v>
      </c>
      <c r="V6" s="9" t="s">
        <v>23</v>
      </c>
      <c r="W6" s="9" t="s">
        <v>24</v>
      </c>
      <c r="Y6" s="14" t="s">
        <v>29</v>
      </c>
      <c r="AB6" s="40" t="s">
        <v>66</v>
      </c>
      <c r="AC6" s="21">
        <v>0.8</v>
      </c>
      <c r="AD6" s="8">
        <v>5000</v>
      </c>
      <c r="AE6" s="44" t="s">
        <v>49</v>
      </c>
      <c r="AN6" s="319"/>
      <c r="AO6" s="321" t="s">
        <v>7</v>
      </c>
      <c r="AP6" s="72" t="s">
        <v>83</v>
      </c>
      <c r="AQ6" s="56" t="s">
        <v>106</v>
      </c>
      <c r="AR6" s="57">
        <v>0.25</v>
      </c>
      <c r="AT6" s="75" t="s">
        <v>6</v>
      </c>
      <c r="AU6" s="76" t="s">
        <v>2</v>
      </c>
    </row>
    <row r="7" spans="1:47" ht="30.75" thickBot="1">
      <c r="A7" s="4"/>
      <c r="B7" s="3" t="s">
        <v>31</v>
      </c>
      <c r="C7" t="s">
        <v>262</v>
      </c>
      <c r="D7" t="s">
        <v>188</v>
      </c>
      <c r="E7" t="s">
        <v>58</v>
      </c>
      <c r="F7" s="38" t="s">
        <v>74</v>
      </c>
      <c r="N7" t="s">
        <v>270</v>
      </c>
      <c r="Q7" s="10" t="s">
        <v>51</v>
      </c>
      <c r="R7" s="8">
        <f>ROW(Q7)</f>
        <v>7</v>
      </c>
      <c r="S7" s="9" t="s">
        <v>29</v>
      </c>
      <c r="T7" s="9" t="s">
        <v>29</v>
      </c>
      <c r="U7" s="9" t="s">
        <v>16</v>
      </c>
      <c r="V7" s="9" t="s">
        <v>23</v>
      </c>
      <c r="W7" s="9" t="s">
        <v>24</v>
      </c>
      <c r="AB7" s="45" t="s">
        <v>67</v>
      </c>
      <c r="AC7" s="33">
        <v>1</v>
      </c>
      <c r="AD7" s="46">
        <v>5000</v>
      </c>
      <c r="AE7" s="47" t="s">
        <v>48</v>
      </c>
      <c r="AN7" s="319"/>
      <c r="AO7" s="321"/>
      <c r="AP7" s="72" t="s">
        <v>84</v>
      </c>
      <c r="AQ7" s="56" t="s">
        <v>107</v>
      </c>
      <c r="AR7" s="57">
        <v>0.15</v>
      </c>
      <c r="AT7" s="63" t="s">
        <v>80</v>
      </c>
      <c r="AU7" s="65" t="s">
        <v>62</v>
      </c>
    </row>
    <row r="8" spans="1:47" ht="32.25" thickBot="1">
      <c r="A8" s="4"/>
      <c r="B8" s="3" t="s">
        <v>32</v>
      </c>
      <c r="C8" s="77" t="s">
        <v>124</v>
      </c>
      <c r="D8" t="s">
        <v>189</v>
      </c>
      <c r="E8" t="s">
        <v>59</v>
      </c>
      <c r="F8" s="24" t="s">
        <v>70</v>
      </c>
      <c r="N8" t="s">
        <v>12</v>
      </c>
      <c r="AN8" s="319" t="s">
        <v>108</v>
      </c>
      <c r="AO8" s="321" t="s">
        <v>8</v>
      </c>
      <c r="AP8" s="72" t="s">
        <v>85</v>
      </c>
      <c r="AQ8" s="56" t="s">
        <v>109</v>
      </c>
      <c r="AR8" s="58" t="s">
        <v>110</v>
      </c>
      <c r="AT8" s="63" t="s">
        <v>81</v>
      </c>
      <c r="AU8" s="65" t="s">
        <v>62</v>
      </c>
    </row>
    <row r="9" spans="1:47" ht="48" thickBot="1">
      <c r="A9" s="4"/>
      <c r="B9" s="3" t="s">
        <v>33</v>
      </c>
      <c r="C9" s="3" t="s">
        <v>263</v>
      </c>
      <c r="D9" t="s">
        <v>190</v>
      </c>
      <c r="E9" s="3"/>
      <c r="F9" s="74" t="s">
        <v>144</v>
      </c>
      <c r="N9" t="s">
        <v>274</v>
      </c>
      <c r="S9" s="307" t="s">
        <v>34</v>
      </c>
      <c r="T9" s="307"/>
      <c r="U9" s="307"/>
      <c r="AB9" s="308" t="s">
        <v>68</v>
      </c>
      <c r="AC9" s="309"/>
      <c r="AD9" s="310"/>
      <c r="AN9" s="319"/>
      <c r="AO9" s="321"/>
      <c r="AP9" s="72" t="s">
        <v>86</v>
      </c>
      <c r="AQ9" s="56" t="s">
        <v>111</v>
      </c>
      <c r="AR9" s="58" t="s">
        <v>110</v>
      </c>
      <c r="AT9" s="64" t="s">
        <v>82</v>
      </c>
      <c r="AU9" s="66" t="s">
        <v>0</v>
      </c>
    </row>
    <row r="10" spans="1:44" ht="15" customHeight="1">
      <c r="A10" s="4"/>
      <c r="B10" s="3" t="s">
        <v>35</v>
      </c>
      <c r="C10" s="77" t="s">
        <v>125</v>
      </c>
      <c r="D10" t="s">
        <v>191</v>
      </c>
      <c r="F10" s="74" t="s">
        <v>179</v>
      </c>
      <c r="N10" t="s">
        <v>271</v>
      </c>
      <c r="S10" s="51" t="s">
        <v>51</v>
      </c>
      <c r="T10" s="51" t="s">
        <v>47</v>
      </c>
      <c r="U10" s="52" t="str">
        <f ca="1">_xlfn.IFERROR(INDIRECT("datos!"&amp;HLOOKUP(T10,calculo_imp,2,FALSE)&amp;VLOOKUP(S10,calculo_prob,2,FALSE)),"")</f>
        <v>Bajo</v>
      </c>
      <c r="AB10" s="23" t="s">
        <v>69</v>
      </c>
      <c r="AC10" s="24"/>
      <c r="AD10" s="25" t="s">
        <v>62</v>
      </c>
      <c r="AG10" s="20" t="s">
        <v>78</v>
      </c>
      <c r="AH10" s="20" t="s">
        <v>79</v>
      </c>
      <c r="AI10" s="20" t="s">
        <v>62</v>
      </c>
      <c r="AN10" s="319"/>
      <c r="AO10" s="321" t="s">
        <v>9</v>
      </c>
      <c r="AP10" s="72" t="s">
        <v>87</v>
      </c>
      <c r="AQ10" s="56" t="s">
        <v>112</v>
      </c>
      <c r="AR10" s="58" t="s">
        <v>110</v>
      </c>
    </row>
    <row r="11" spans="1:44" ht="45">
      <c r="A11" s="4"/>
      <c r="B11" s="3" t="s">
        <v>36</v>
      </c>
      <c r="C11" s="77" t="s">
        <v>126</v>
      </c>
      <c r="D11" t="s">
        <v>192</v>
      </c>
      <c r="F11" s="74" t="s">
        <v>145</v>
      </c>
      <c r="N11" t="s">
        <v>272</v>
      </c>
      <c r="AA11" s="22"/>
      <c r="AB11" s="26" t="s">
        <v>75</v>
      </c>
      <c r="AC11" s="15" t="s">
        <v>47</v>
      </c>
      <c r="AD11" s="34">
        <v>0.2</v>
      </c>
      <c r="AG11" s="49" t="s">
        <v>75</v>
      </c>
      <c r="AH11" s="48" t="str">
        <f>VLOOKUP(AG11,datos!$AB$10:$AD$21,2,0)</f>
        <v>Leve</v>
      </c>
      <c r="AI11" s="37">
        <f>IF(OR(AG11=datos!$AB$10,AG11=datos!$AB$16),"",VLOOKUP(AG11,datos!$AB$10:$AD$21,3,0))</f>
        <v>0.2</v>
      </c>
      <c r="AN11" s="319"/>
      <c r="AO11" s="321"/>
      <c r="AP11" s="72" t="s">
        <v>88</v>
      </c>
      <c r="AQ11" s="56" t="s">
        <v>113</v>
      </c>
      <c r="AR11" s="58" t="s">
        <v>110</v>
      </c>
    </row>
    <row r="12" spans="1:44" ht="60">
      <c r="A12" s="4"/>
      <c r="B12" s="3" t="s">
        <v>37</v>
      </c>
      <c r="C12" t="s">
        <v>127</v>
      </c>
      <c r="D12" t="s">
        <v>193</v>
      </c>
      <c r="F12" s="74" t="s">
        <v>180</v>
      </c>
      <c r="N12" t="s">
        <v>273</v>
      </c>
      <c r="AA12" s="22"/>
      <c r="AB12" s="27" t="s">
        <v>76</v>
      </c>
      <c r="AC12" s="16" t="s">
        <v>15</v>
      </c>
      <c r="AD12" s="34">
        <v>0.4</v>
      </c>
      <c r="AH12" s="20" t="s">
        <v>0</v>
      </c>
      <c r="AI12" s="20" t="s">
        <v>120</v>
      </c>
      <c r="AN12" s="319"/>
      <c r="AO12" s="321" t="s">
        <v>10</v>
      </c>
      <c r="AP12" s="72" t="s">
        <v>89</v>
      </c>
      <c r="AQ12" s="56" t="s">
        <v>114</v>
      </c>
      <c r="AR12" s="58" t="s">
        <v>110</v>
      </c>
    </row>
    <row r="13" spans="1:44" ht="45.75" thickBot="1">
      <c r="A13" s="4"/>
      <c r="B13" s="3" t="s">
        <v>38</v>
      </c>
      <c r="C13" s="182" t="s">
        <v>128</v>
      </c>
      <c r="D13" s="4"/>
      <c r="F13" s="74" t="s">
        <v>146</v>
      </c>
      <c r="AA13" s="22"/>
      <c r="AB13" s="27" t="s">
        <v>72</v>
      </c>
      <c r="AC13" s="17" t="s">
        <v>16</v>
      </c>
      <c r="AD13" s="34">
        <v>0.6</v>
      </c>
      <c r="AH13" s="62" t="str">
        <f>+IF(AI13&lt;=datos!$AD$11,datos!$AC$11,IF(AI13&lt;=datos!$AD$12,datos!$AC$12,IF(AI13&lt;=datos!$AD$13,datos!$AC$13,IF(AI13&lt;=datos!$AD$14,datos!$AC$14,IF(AI13&lt;=datos!$AD$15,datos!$AC$15,"")))))</f>
        <v>Catastrófico</v>
      </c>
      <c r="AI13">
        <v>0.81</v>
      </c>
      <c r="AN13" s="322"/>
      <c r="AO13" s="323"/>
      <c r="AP13" s="73" t="s">
        <v>90</v>
      </c>
      <c r="AQ13" s="59" t="s">
        <v>115</v>
      </c>
      <c r="AR13" s="60" t="s">
        <v>110</v>
      </c>
    </row>
    <row r="14" spans="1:44" ht="15.75" customHeight="1">
      <c r="A14" s="4"/>
      <c r="B14" s="3" t="s">
        <v>39</v>
      </c>
      <c r="C14" s="183" t="s">
        <v>264</v>
      </c>
      <c r="D14" s="4"/>
      <c r="E14" s="67"/>
      <c r="F14" s="69"/>
      <c r="Z14" s="22"/>
      <c r="AB14" s="27" t="s">
        <v>73</v>
      </c>
      <c r="AC14" s="18" t="s">
        <v>17</v>
      </c>
      <c r="AD14" s="34">
        <v>0.8</v>
      </c>
      <c r="AN14" s="324" t="s">
        <v>116</v>
      </c>
      <c r="AO14" s="324"/>
      <c r="AP14" s="324"/>
      <c r="AQ14" s="324"/>
      <c r="AR14" s="324"/>
    </row>
    <row r="15" spans="1:30" ht="15.75" customHeight="1">
      <c r="A15" s="4"/>
      <c r="B15" s="3" t="s">
        <v>40</v>
      </c>
      <c r="C15" s="139" t="s">
        <v>265</v>
      </c>
      <c r="D15" s="4"/>
      <c r="E15" s="67"/>
      <c r="F15" s="69"/>
      <c r="Z15" s="22"/>
      <c r="AB15" s="27" t="s">
        <v>74</v>
      </c>
      <c r="AC15" s="19" t="s">
        <v>18</v>
      </c>
      <c r="AD15" s="34">
        <v>1</v>
      </c>
    </row>
    <row r="16" spans="1:30" ht="15">
      <c r="A16" s="4"/>
      <c r="B16" s="3" t="s">
        <v>41</v>
      </c>
      <c r="C16" s="139" t="s">
        <v>129</v>
      </c>
      <c r="D16" s="4"/>
      <c r="E16" s="67"/>
      <c r="F16" s="69"/>
      <c r="AB16" s="23" t="s">
        <v>70</v>
      </c>
      <c r="AD16" s="35"/>
    </row>
    <row r="17" spans="1:30" ht="30">
      <c r="A17" s="4"/>
      <c r="B17" s="3" t="s">
        <v>42</v>
      </c>
      <c r="C17" s="139" t="s">
        <v>195</v>
      </c>
      <c r="D17" s="4"/>
      <c r="E17" s="67"/>
      <c r="F17" s="69"/>
      <c r="Z17" s="22"/>
      <c r="AB17" s="28" t="s">
        <v>144</v>
      </c>
      <c r="AC17" s="15" t="s">
        <v>47</v>
      </c>
      <c r="AD17" s="34">
        <v>0.2</v>
      </c>
    </row>
    <row r="18" spans="1:30" ht="75">
      <c r="A18" s="4"/>
      <c r="B18" s="3" t="s">
        <v>43</v>
      </c>
      <c r="C18" s="139" t="s">
        <v>266</v>
      </c>
      <c r="D18" s="4"/>
      <c r="E18" s="67"/>
      <c r="F18" s="69"/>
      <c r="Z18" s="22"/>
      <c r="AB18" s="29" t="s">
        <v>179</v>
      </c>
      <c r="AC18" s="16" t="s">
        <v>15</v>
      </c>
      <c r="AD18" s="34">
        <v>0.4</v>
      </c>
    </row>
    <row r="19" spans="1:30" ht="45">
      <c r="A19" s="4"/>
      <c r="B19" s="3" t="s">
        <v>44</v>
      </c>
      <c r="C19" s="139" t="s">
        <v>267</v>
      </c>
      <c r="D19" s="4"/>
      <c r="E19" s="67"/>
      <c r="F19" s="69"/>
      <c r="Z19" s="22"/>
      <c r="AB19" s="29" t="s">
        <v>145</v>
      </c>
      <c r="AC19" s="17" t="s">
        <v>16</v>
      </c>
      <c r="AD19" s="34">
        <v>0.6</v>
      </c>
    </row>
    <row r="20" spans="1:30" ht="60">
      <c r="A20" s="4"/>
      <c r="B20" s="3" t="s">
        <v>45</v>
      </c>
      <c r="C20" s="139" t="s">
        <v>130</v>
      </c>
      <c r="D20" s="4"/>
      <c r="E20" s="67"/>
      <c r="F20" s="69"/>
      <c r="Z20" s="22"/>
      <c r="AB20" s="29" t="s">
        <v>180</v>
      </c>
      <c r="AC20" s="18" t="s">
        <v>17</v>
      </c>
      <c r="AD20" s="34">
        <v>0.8</v>
      </c>
    </row>
    <row r="21" spans="1:30" ht="45.75" thickBot="1">
      <c r="A21" s="4"/>
      <c r="B21" s="3" t="s">
        <v>46</v>
      </c>
      <c r="C21" s="139" t="s">
        <v>995</v>
      </c>
      <c r="D21" s="4"/>
      <c r="E21" s="67"/>
      <c r="F21" s="69"/>
      <c r="Z21" s="22"/>
      <c r="AB21" s="30" t="s">
        <v>146</v>
      </c>
      <c r="AC21" s="31" t="s">
        <v>18</v>
      </c>
      <c r="AD21" s="36">
        <v>1</v>
      </c>
    </row>
    <row r="22" spans="1:7" ht="15">
      <c r="A22" s="4"/>
      <c r="B22" s="4"/>
      <c r="C22" s="4"/>
      <c r="D22" s="4"/>
      <c r="E22" s="4"/>
      <c r="F22" s="4"/>
      <c r="G22" s="4"/>
    </row>
  </sheetData>
  <sheetProtection/>
  <protectedRanges>
    <protectedRange sqref="S10:T10 R27:S29 R14:S16" name="Rango1_2"/>
  </protectedRanges>
  <mergeCells count="14">
    <mergeCell ref="AO10:AO11"/>
    <mergeCell ref="AO12:AO13"/>
    <mergeCell ref="AN14:AR14"/>
    <mergeCell ref="AB1:AE1"/>
    <mergeCell ref="S9:U9"/>
    <mergeCell ref="AB9:AD9"/>
    <mergeCell ref="AG1:AI1"/>
    <mergeCell ref="AN1:AR1"/>
    <mergeCell ref="AN2:AP2"/>
    <mergeCell ref="AN3:AN7"/>
    <mergeCell ref="AO3:AO5"/>
    <mergeCell ref="AO6:AO7"/>
    <mergeCell ref="AN8:AN13"/>
    <mergeCell ref="AO8:AO9"/>
  </mergeCells>
  <conditionalFormatting sqref="S3:W7">
    <cfRule type="cellIs" priority="30" dxfId="29" operator="equal">
      <formula>$Y$6</formula>
    </cfRule>
    <cfRule type="cellIs" priority="31" dxfId="30" operator="equal">
      <formula>$Y$5</formula>
    </cfRule>
    <cfRule type="cellIs" priority="32" dxfId="31" operator="equal">
      <formula>$Y$4</formula>
    </cfRule>
    <cfRule type="cellIs" priority="33" dxfId="32" operator="equal">
      <formula>$Y$3</formula>
    </cfRule>
  </conditionalFormatting>
  <conditionalFormatting sqref="U10">
    <cfRule type="cellIs" priority="26" dxfId="29" operator="equal">
      <formula>$Y$6</formula>
    </cfRule>
    <cfRule type="cellIs" priority="27" dxfId="30" operator="equal">
      <formula>$Y$5</formula>
    </cfRule>
    <cfRule type="cellIs" priority="28" dxfId="31" operator="equal">
      <formula>$Y$4</formula>
    </cfRule>
    <cfRule type="cellIs" priority="29" dxfId="32" operator="equal">
      <formula>$Y$3</formula>
    </cfRule>
  </conditionalFormatting>
  <conditionalFormatting sqref="AH3">
    <cfRule type="cellIs" priority="11" dxfId="32" operator="equal">
      <formula>$AE$7</formula>
    </cfRule>
    <cfRule type="cellIs" priority="12" dxfId="33" operator="equal">
      <formula>$AE$6</formula>
    </cfRule>
    <cfRule type="cellIs" priority="13" dxfId="30" operator="equal">
      <formula>$AE$5</formula>
    </cfRule>
    <cfRule type="cellIs" priority="14" dxfId="34" operator="equal">
      <formula>$AE$4</formula>
    </cfRule>
    <cfRule type="cellIs" priority="15" dxfId="29" operator="equal">
      <formula>$AE$3</formula>
    </cfRule>
  </conditionalFormatting>
  <conditionalFormatting sqref="AH5">
    <cfRule type="cellIs" priority="6" dxfId="32" operator="equal">
      <formula>$AE$7</formula>
    </cfRule>
    <cfRule type="cellIs" priority="7" dxfId="33" operator="equal">
      <formula>$AE$6</formula>
    </cfRule>
    <cfRule type="cellIs" priority="8" dxfId="30" operator="equal">
      <formula>$AE$5</formula>
    </cfRule>
    <cfRule type="cellIs" priority="9" dxfId="34" operator="equal">
      <formula>$AE$4</formula>
    </cfRule>
    <cfRule type="cellIs" priority="10" dxfId="29" operator="equal">
      <formula>$AE$3</formula>
    </cfRule>
  </conditionalFormatting>
  <conditionalFormatting sqref="AH11">
    <cfRule type="cellIs" priority="107" dxfId="29" operator="equal">
      <formula>$AC$11</formula>
    </cfRule>
    <cfRule type="cellIs" priority="108" dxfId="34" operator="equal">
      <formula>$AC$12</formula>
    </cfRule>
    <cfRule type="cellIs" priority="109" dxfId="30" operator="equal">
      <formula>$AC$13</formula>
    </cfRule>
    <cfRule type="cellIs" priority="110" dxfId="33" operator="equal">
      <formula>$AC$14</formula>
    </cfRule>
    <cfRule type="cellIs" priority="111" dxfId="5" operator="equal">
      <formula>$AC$15</formula>
    </cfRule>
  </conditionalFormatting>
  <conditionalFormatting sqref="AH13">
    <cfRule type="cellIs" priority="112" dxfId="32" operator="equal">
      <formula>$AC$15</formula>
    </cfRule>
    <cfRule type="cellIs" priority="113" dxfId="33" operator="equal">
      <formula>$AC$14</formula>
    </cfRule>
    <cfRule type="cellIs" priority="114" dxfId="30" operator="equal">
      <formula>$AC$13</formula>
    </cfRule>
    <cfRule type="cellIs" priority="115" dxfId="34" operator="equal">
      <formula>$AC$12</formula>
    </cfRule>
    <cfRule type="cellIs" priority="116" dxfId="29" operator="equal">
      <formula>$AC$11</formula>
    </cfRule>
  </conditionalFormatting>
  <dataValidations count="5">
    <dataValidation type="list" allowBlank="1" showInputMessage="1" showErrorMessage="1" sqref="S10">
      <formula1>$Q$3:$Q$7</formula1>
    </dataValidation>
    <dataValidation type="list" allowBlank="1" showInputMessage="1" showErrorMessage="1" sqref="T10">
      <formula1>$S$1:$W$1</formula1>
    </dataValidation>
    <dataValidation type="list" allowBlank="1" showInputMessage="1" showErrorMessage="1" sqref="AG11">
      <formula1>$F$2:$F$13</formula1>
    </dataValidation>
    <dataValidation type="list" allowBlank="1" showInputMessage="1" showErrorMessage="1" sqref="AU4">
      <formula1>$J$2:$J$3</formula1>
    </dataValidation>
    <dataValidation type="list" allowBlank="1" showInputMessage="1" showErrorMessage="1" sqref="AT4">
      <formula1>$I$2:$I$4</formula1>
    </dataValidation>
  </dataValidations>
  <printOptions/>
  <pageMargins left="0.7" right="0.7" top="0.75" bottom="0.75" header="0.3" footer="0.3"/>
  <pageSetup orientation="portrait" r:id="rId7"/>
  <tableParts>
    <tablePart r:id="rId2"/>
    <tablePart r:id="rId6"/>
    <tablePart r:id="rId5"/>
    <tablePart r:id="rId4"/>
    <tablePart r:id="rId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Palacios Muñoz, Lewis Jhossimar</dc:creator>
  <cp:keywords/>
  <dc:description/>
  <cp:lastModifiedBy>Lewis Jhossimar, Palacios Muñoz</cp:lastModifiedBy>
  <dcterms:created xsi:type="dcterms:W3CDTF">2021-02-10T16:24:02Z</dcterms:created>
  <dcterms:modified xsi:type="dcterms:W3CDTF">2024-01-30T21:05:15Z</dcterms:modified>
  <cp:category/>
  <cp:version/>
  <cp:contentType/>
  <cp:contentStatus/>
</cp:coreProperties>
</file>