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3"/>
  </bookViews>
  <sheets>
    <sheet name="Metas inversión 886" sheetId="1" r:id="rId1"/>
    <sheet name="Actividades inversión 886" sheetId="2" r:id="rId2"/>
    <sheet name="Metas gestión" sheetId="3" r:id="rId3"/>
    <sheet name="Actividades gestión" sheetId="4" r:id="rId4"/>
  </sheets>
  <externalReferences>
    <externalReference r:id="rId7"/>
  </externalReferences>
  <definedNames>
    <definedName name="_xlnm._FilterDatabase" localSheetId="3" hidden="1">'Actividades gestión'!$A$3:$V$3</definedName>
    <definedName name="_xlnm._FilterDatabase" localSheetId="0" hidden="1">'Metas inversión 886'!$A$15:$AA$73</definedName>
    <definedName name="_xlnm.Print_Area" localSheetId="2">'Metas gestión'!#REF!</definedName>
    <definedName name="_xlnm.Print_Area" localSheetId="0">'Metas inversión 886'!#REF!</definedName>
  </definedNames>
  <calcPr fullCalcOnLoad="1"/>
</workbook>
</file>

<file path=xl/comments1.xml><?xml version="1.0" encoding="utf-8"?>
<comments xmlns="http://schemas.openxmlformats.org/spreadsheetml/2006/main">
  <authors>
    <author>sjgomez</author>
  </authors>
  <commentList>
    <comment ref="O26" authorId="0">
      <text>
        <r>
          <rPr>
            <b/>
            <sz val="9"/>
            <rFont val="Tahoma"/>
            <family val="2"/>
          </rPr>
          <t>sjgomez:</t>
        </r>
        <r>
          <rPr>
            <sz val="9"/>
            <rFont val="Tahoma"/>
            <family val="2"/>
          </rPr>
          <t xml:space="preserve">
meta de suma
</t>
        </r>
      </text>
    </comment>
    <comment ref="O42" authorId="0">
      <text>
        <r>
          <rPr>
            <b/>
            <sz val="9"/>
            <rFont val="Tahoma"/>
            <family val="2"/>
          </rPr>
          <t>sjgomez:</t>
        </r>
        <r>
          <rPr>
            <sz val="9"/>
            <rFont val="Tahoma"/>
            <family val="2"/>
          </rPr>
          <t xml:space="preserve">
meta de suma</t>
        </r>
      </text>
    </comment>
    <comment ref="O58" authorId="0">
      <text>
        <r>
          <rPr>
            <b/>
            <sz val="9"/>
            <rFont val="Tahoma"/>
            <family val="2"/>
          </rPr>
          <t>sjgomez:</t>
        </r>
        <r>
          <rPr>
            <sz val="9"/>
            <rFont val="Tahoma"/>
            <family val="2"/>
          </rPr>
          <t xml:space="preserve">
meta de suma</t>
        </r>
      </text>
    </comment>
  </commentList>
</comments>
</file>

<file path=xl/comments2.xml><?xml version="1.0" encoding="utf-8"?>
<comments xmlns="http://schemas.openxmlformats.org/spreadsheetml/2006/main">
  <authors>
    <author>sjgomez</author>
    <author>Cantor Nieto, Juan Isidro</author>
    <author>mmmadrid</author>
  </authors>
  <commentList>
    <comment ref="K13" authorId="0">
      <text>
        <r>
          <rPr>
            <b/>
            <sz val="9"/>
            <rFont val="Tahoma"/>
            <family val="2"/>
          </rPr>
          <t>sjgomez:</t>
        </r>
        <r>
          <rPr>
            <sz val="9"/>
            <rFont val="Tahoma"/>
            <family val="2"/>
          </rPr>
          <t xml:space="preserve">
suma
</t>
        </r>
      </text>
    </comment>
    <comment ref="K14" authorId="0">
      <text>
        <r>
          <rPr>
            <b/>
            <sz val="9"/>
            <rFont val="Tahoma"/>
            <family val="2"/>
          </rPr>
          <t>sjgomez:</t>
        </r>
        <r>
          <rPr>
            <sz val="9"/>
            <rFont val="Tahoma"/>
            <family val="2"/>
          </rPr>
          <t xml:space="preserve">
constante</t>
        </r>
      </text>
    </comment>
    <comment ref="K15" authorId="0">
      <text>
        <r>
          <rPr>
            <b/>
            <sz val="9"/>
            <rFont val="Tahoma"/>
            <family val="2"/>
          </rPr>
          <t>sjgomez:</t>
        </r>
        <r>
          <rPr>
            <sz val="9"/>
            <rFont val="Tahoma"/>
            <family val="2"/>
          </rPr>
          <t xml:space="preserve">
constante</t>
        </r>
      </text>
    </comment>
    <comment ref="K17"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suma</t>
        </r>
      </text>
    </comment>
    <comment ref="K20" authorId="0">
      <text>
        <r>
          <rPr>
            <b/>
            <sz val="9"/>
            <rFont val="Tahoma"/>
            <family val="2"/>
          </rPr>
          <t>sjgomez:</t>
        </r>
        <r>
          <rPr>
            <sz val="9"/>
            <rFont val="Tahoma"/>
            <family val="2"/>
          </rPr>
          <t xml:space="preserve">
suma</t>
        </r>
      </text>
    </comment>
    <comment ref="K22" authorId="0">
      <text>
        <r>
          <rPr>
            <b/>
            <sz val="9"/>
            <rFont val="Tahoma"/>
            <family val="2"/>
          </rPr>
          <t>sjgomez:</t>
        </r>
        <r>
          <rPr>
            <sz val="9"/>
            <rFont val="Tahoma"/>
            <family val="2"/>
          </rPr>
          <t xml:space="preserve">
constante</t>
        </r>
      </text>
    </comment>
    <comment ref="K23" authorId="0">
      <text>
        <r>
          <rPr>
            <b/>
            <sz val="9"/>
            <rFont val="Tahoma"/>
            <family val="2"/>
          </rPr>
          <t>sjgomez:</t>
        </r>
        <r>
          <rPr>
            <sz val="9"/>
            <rFont val="Tahoma"/>
            <family val="2"/>
          </rPr>
          <t xml:space="preserve">
constante</t>
        </r>
      </text>
    </comment>
    <comment ref="K25" authorId="0">
      <text>
        <r>
          <rPr>
            <b/>
            <sz val="9"/>
            <rFont val="Tahoma"/>
            <family val="2"/>
          </rPr>
          <t>sjgomez:</t>
        </r>
        <r>
          <rPr>
            <sz val="9"/>
            <rFont val="Tahoma"/>
            <family val="2"/>
          </rPr>
          <t xml:space="preserve">
constante</t>
        </r>
      </text>
    </comment>
    <comment ref="K26" authorId="0">
      <text>
        <r>
          <rPr>
            <b/>
            <sz val="9"/>
            <rFont val="Tahoma"/>
            <family val="2"/>
          </rPr>
          <t>sjgomez:</t>
        </r>
        <r>
          <rPr>
            <sz val="9"/>
            <rFont val="Tahoma"/>
            <family val="2"/>
          </rPr>
          <t xml:space="preserve">
constante</t>
        </r>
      </text>
    </comment>
    <comment ref="K27" authorId="0">
      <text>
        <r>
          <rPr>
            <b/>
            <sz val="9"/>
            <rFont val="Tahoma"/>
            <family val="2"/>
          </rPr>
          <t>sjgomez:</t>
        </r>
        <r>
          <rPr>
            <sz val="9"/>
            <rFont val="Tahoma"/>
            <family val="2"/>
          </rPr>
          <t xml:space="preserve">
suma</t>
        </r>
      </text>
    </comment>
    <comment ref="L27" authorId="1">
      <text>
        <r>
          <rPr>
            <b/>
            <sz val="9"/>
            <rFont val="Tahoma"/>
            <family val="2"/>
          </rPr>
          <t>Cantor Nieto, Juan Isidro:</t>
        </r>
        <r>
          <rPr>
            <sz val="9"/>
            <rFont val="Tahoma"/>
            <family val="2"/>
          </rPr>
          <t xml:space="preserve">
En JUNIO se reportaron:
Evaluados: 218 Inscritos: 72; SIGUE IGUAL ???</t>
        </r>
      </text>
    </comment>
    <comment ref="K28" authorId="0">
      <text>
        <r>
          <rPr>
            <b/>
            <sz val="9"/>
            <rFont val="Tahoma"/>
            <family val="2"/>
          </rPr>
          <t>sjgomez:</t>
        </r>
        <r>
          <rPr>
            <sz val="9"/>
            <rFont val="Tahoma"/>
            <family val="2"/>
          </rPr>
          <t xml:space="preserve">
suma</t>
        </r>
      </text>
    </comment>
    <comment ref="K29"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suma</t>
        </r>
      </text>
    </comment>
    <comment ref="K31" authorId="0">
      <text>
        <r>
          <rPr>
            <b/>
            <sz val="9"/>
            <rFont val="Tahoma"/>
            <family val="2"/>
          </rPr>
          <t>sjgomez:</t>
        </r>
        <r>
          <rPr>
            <sz val="9"/>
            <rFont val="Tahoma"/>
            <family val="2"/>
          </rPr>
          <t xml:space="preserve">
suma</t>
        </r>
      </text>
    </comment>
    <comment ref="K32" authorId="0">
      <text>
        <r>
          <rPr>
            <b/>
            <sz val="9"/>
            <rFont val="Tahoma"/>
            <family val="2"/>
          </rPr>
          <t>sjgomez:</t>
        </r>
        <r>
          <rPr>
            <sz val="9"/>
            <rFont val="Tahoma"/>
            <family val="2"/>
          </rPr>
          <t xml:space="preserve">
suma</t>
        </r>
      </text>
    </comment>
    <comment ref="K33" authorId="0">
      <text>
        <r>
          <rPr>
            <b/>
            <sz val="9"/>
            <rFont val="Tahoma"/>
            <family val="2"/>
          </rPr>
          <t>sjgomez:</t>
        </r>
        <r>
          <rPr>
            <sz val="9"/>
            <rFont val="Tahoma"/>
            <family val="2"/>
          </rPr>
          <t xml:space="preserve">
suma</t>
        </r>
      </text>
    </comment>
    <comment ref="L33" authorId="2">
      <text>
        <r>
          <rPr>
            <b/>
            <sz val="9"/>
            <rFont val="Tahoma"/>
            <family val="2"/>
          </rPr>
          <t>mmmadrid:</t>
        </r>
        <r>
          <rPr>
            <sz val="9"/>
            <rFont val="Tahoma"/>
            <family val="2"/>
          </rPr>
          <t xml:space="preserve">
- Matriz Del ministerio consolidada
- 18 planes anuales de adquisiciones
- Seguimientos a los proyectos de inversión</t>
        </r>
      </text>
    </comment>
    <comment ref="K34" authorId="0">
      <text>
        <r>
          <rPr>
            <b/>
            <sz val="9"/>
            <rFont val="Tahoma"/>
            <family val="2"/>
          </rPr>
          <t>sjgomez:</t>
        </r>
        <r>
          <rPr>
            <sz val="9"/>
            <rFont val="Tahoma"/>
            <family val="2"/>
          </rPr>
          <t xml:space="preserve">
suma</t>
        </r>
      </text>
    </comment>
    <comment ref="L34" authorId="2">
      <text>
        <r>
          <rPr>
            <b/>
            <sz val="9"/>
            <rFont val="Tahoma"/>
            <family val="2"/>
          </rPr>
          <t>mmmadrid:</t>
        </r>
        <r>
          <rPr>
            <sz val="9"/>
            <rFont val="Tahoma"/>
            <family val="2"/>
          </rPr>
          <t xml:space="preserve">
Validador RIPS (Validación de los Registros Individuales RIPS mensual (1))
</t>
        </r>
      </text>
    </comment>
    <comment ref="K36" authorId="0">
      <text>
        <r>
          <rPr>
            <b/>
            <sz val="9"/>
            <rFont val="Tahoma"/>
            <family val="2"/>
          </rPr>
          <t>sjgomez:</t>
        </r>
        <r>
          <rPr>
            <sz val="9"/>
            <rFont val="Tahoma"/>
            <family val="2"/>
          </rPr>
          <t xml:space="preserve">
suma</t>
        </r>
      </text>
    </comment>
    <comment ref="K37" authorId="0">
      <text>
        <r>
          <rPr>
            <b/>
            <sz val="9"/>
            <rFont val="Tahoma"/>
            <family val="2"/>
          </rPr>
          <t>sjgomez:</t>
        </r>
        <r>
          <rPr>
            <sz val="9"/>
            <rFont val="Tahoma"/>
            <family val="2"/>
          </rPr>
          <t xml:space="preserve">
constante</t>
        </r>
      </text>
    </comment>
    <comment ref="K38" authorId="0">
      <text>
        <r>
          <rPr>
            <b/>
            <sz val="9"/>
            <rFont val="Tahoma"/>
            <family val="2"/>
          </rPr>
          <t>sjgomez:</t>
        </r>
        <r>
          <rPr>
            <sz val="9"/>
            <rFont val="Tahoma"/>
            <family val="2"/>
          </rPr>
          <t xml:space="preserve">
constante</t>
        </r>
      </text>
    </comment>
    <comment ref="K40" authorId="0">
      <text>
        <r>
          <rPr>
            <b/>
            <sz val="9"/>
            <rFont val="Tahoma"/>
            <family val="2"/>
          </rPr>
          <t>sjgomez:</t>
        </r>
        <r>
          <rPr>
            <sz val="9"/>
            <rFont val="Tahoma"/>
            <family val="2"/>
          </rPr>
          <t xml:space="preserve">
constante</t>
        </r>
      </text>
    </comment>
    <comment ref="K41" authorId="0">
      <text>
        <r>
          <rPr>
            <b/>
            <sz val="9"/>
            <rFont val="Tahoma"/>
            <family val="2"/>
          </rPr>
          <t>sjgomez:</t>
        </r>
        <r>
          <rPr>
            <sz val="9"/>
            <rFont val="Tahoma"/>
            <family val="2"/>
          </rPr>
          <t xml:space="preserve">
constante</t>
        </r>
      </text>
    </comment>
    <comment ref="K42" authorId="0">
      <text>
        <r>
          <rPr>
            <b/>
            <sz val="9"/>
            <rFont val="Tahoma"/>
            <family val="2"/>
          </rPr>
          <t>sjgomez:</t>
        </r>
        <r>
          <rPr>
            <sz val="9"/>
            <rFont val="Tahoma"/>
            <family val="2"/>
          </rPr>
          <t xml:space="preserve">
suma</t>
        </r>
      </text>
    </comment>
    <comment ref="K44" authorId="0">
      <text>
        <r>
          <rPr>
            <b/>
            <sz val="9"/>
            <rFont val="Tahoma"/>
            <family val="2"/>
          </rPr>
          <t>sjgomez:</t>
        </r>
        <r>
          <rPr>
            <sz val="9"/>
            <rFont val="Tahoma"/>
            <family val="2"/>
          </rPr>
          <t xml:space="preserve">
constante</t>
        </r>
      </text>
    </comment>
    <comment ref="K45" authorId="0">
      <text>
        <r>
          <rPr>
            <b/>
            <sz val="9"/>
            <rFont val="Tahoma"/>
            <family val="2"/>
          </rPr>
          <t>sjgomez:</t>
        </r>
        <r>
          <rPr>
            <sz val="9"/>
            <rFont val="Tahoma"/>
            <family val="2"/>
          </rPr>
          <t xml:space="preserve">
suma</t>
        </r>
      </text>
    </comment>
    <comment ref="K46" authorId="0">
      <text>
        <r>
          <rPr>
            <b/>
            <sz val="9"/>
            <rFont val="Tahoma"/>
            <family val="2"/>
          </rPr>
          <t>sjgomez:</t>
        </r>
        <r>
          <rPr>
            <sz val="9"/>
            <rFont val="Tahoma"/>
            <family val="2"/>
          </rPr>
          <t xml:space="preserve">
constante</t>
        </r>
      </text>
    </comment>
    <comment ref="K47" authorId="0">
      <text>
        <r>
          <rPr>
            <b/>
            <sz val="9"/>
            <rFont val="Tahoma"/>
            <family val="2"/>
          </rPr>
          <t>sjgomez:</t>
        </r>
        <r>
          <rPr>
            <sz val="9"/>
            <rFont val="Tahoma"/>
            <family val="2"/>
          </rPr>
          <t xml:space="preserve">
constante</t>
        </r>
      </text>
    </comment>
    <comment ref="K48" authorId="0">
      <text>
        <r>
          <rPr>
            <b/>
            <sz val="9"/>
            <rFont val="Tahoma"/>
            <family val="2"/>
          </rPr>
          <t>sjgomez:</t>
        </r>
        <r>
          <rPr>
            <sz val="9"/>
            <rFont val="Tahoma"/>
            <family val="2"/>
          </rPr>
          <t xml:space="preserve">
constante</t>
        </r>
      </text>
    </comment>
    <comment ref="K49" authorId="0">
      <text>
        <r>
          <rPr>
            <b/>
            <sz val="9"/>
            <rFont val="Tahoma"/>
            <family val="2"/>
          </rPr>
          <t>sjgomez:</t>
        </r>
        <r>
          <rPr>
            <sz val="9"/>
            <rFont val="Tahoma"/>
            <family val="2"/>
          </rPr>
          <t xml:space="preserve">
constante</t>
        </r>
      </text>
    </comment>
    <comment ref="L49" authorId="0">
      <text>
        <r>
          <rPr>
            <b/>
            <sz val="9"/>
            <rFont val="Tahoma"/>
            <family val="2"/>
          </rPr>
          <t>sjgomez:</t>
        </r>
        <r>
          <rPr>
            <sz val="9"/>
            <rFont val="Tahoma"/>
            <family val="2"/>
          </rPr>
          <t xml:space="preserve">
constante</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<sst xmlns="http://schemas.openxmlformats.org/spreadsheetml/2006/main" count="664" uniqueCount="291">
  <si>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</si>
  <si>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</si>
  <si>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</si>
  <si>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</si>
  <si>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</si>
  <si>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</si>
  <si>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</si>
  <si>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</si>
  <si>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</si>
  <si>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</si>
  <si>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</si>
  <si>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</si>
  <si>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</si>
  <si>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</si>
  <si>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</si>
  <si>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</si>
  <si>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</si>
  <si>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</si>
  <si>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</si>
  <si>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</si>
  <si>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</si>
  <si>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</si>
  <si>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</si>
  <si>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</si>
  <si>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</si>
  <si>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</si>
  <si>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</si>
  <si>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</si>
  <si>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</si>
  <si>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</si>
  <si>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</si>
  <si>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</si>
  <si>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</si>
  <si>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</si>
  <si>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</si>
  <si>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</si>
  <si>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</si>
  <si>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</si>
  <si>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</si>
  <si>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</si>
  <si>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</si>
  <si>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</si>
  <si>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</si>
  <si>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</si>
  <si>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</si>
  <si>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</si>
  <si>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</si>
  <si>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</si>
  <si>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</si>
  <si>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</si>
  <si>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</si>
  <si>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</si>
  <si>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</si>
  <si>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</si>
  <si>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</si>
  <si>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</si>
  <si>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</si>
  <si>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</si>
  <si>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</si>
  <si>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</si>
  <si>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</si>
  <si>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</si>
  <si>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</si>
  <si>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</si>
  <si>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</si>
  <si>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</si>
  <si>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</si>
  <si>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</si>
  <si>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</si>
  <si>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</si>
  <si>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</si>
  <si>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</si>
  <si>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</si>
  <si>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</si>
  <si>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</si>
  <si>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</si>
  <si>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</si>
  <si>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</si>
  <si>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</si>
  <si>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</si>
  <si>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</si>
  <si>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</si>
  <si>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</si>
  <si>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</si>
  <si>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</si>
  <si>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</si>
  <si>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</si>
  <si>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</si>
  <si>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</si>
  <si>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</si>
  <si>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</si>
  <si>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</si>
  <si>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</si>
  <si>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</si>
  <si>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</si>
  <si>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</si>
  <si>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</si>
  <si>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</si>
  <si>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</si>
  <si>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</si>
  <si>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</si>
  <si>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</si>
  <si>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</si>
  <si>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</si>
  <si>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</si>
  <si>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</si>
  <si>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No se cuenta con avances frente a este subsistema.</t>
  </si>
  <si>
    <t>Se revisan y publican los seguimientos de: Servicio al Ciudadano, Participación Social de marzo-abril, Dirección de Análisis de Entidades Públicas de enero-mayo, OCI enero-marzo. Del mes de mayo se publican y envían observaciones por correo a: Talento humano, Salud colectiva, Epidemiología, Servicio a la ciudadanía, Participación social, Oficina asuntos disciplinarios, Entidades públicas. Se realiza solicitud especial a Dir. Urgencias y Emergencias el día 14/07/15 por retraso en el envío del seguimiento desde el mes de marzo. (Soporte: Utilidades / Dir. Planeación y sistemas / Dir. Planeación institucional y calidad / Seguimiento POA). 
Se remiten nuevamente las matrices para hacer seguimiento pues se incluyeron dos (2) indicadores transversales del SIG. 
Se llevan a cabo 2 mesas de trabajo con la Dirección de planeación sectorial para revisar metodología del tablero de control y revisión de funciones en común, el día 30/06/15 en la que se define metodología de reporte del POA y se establece el balanceo de los procesos. El día 01/07/15 se elabora documento de Alineación de la plataforma estratégica vs. procesos vs. Política y objetivos SIG y se remite a Claudia Romero, Ana Cárdenas. El día 08/07/15 se realiza reunión con Dra. Azucena Forero, Sandra Gómez de la DPS para revisar funciones en común, tablero de control y recursos financieros a trasladar. 
Se consolida matriz de indicadores de eficacia, eficiencia y efectividad por proceso que servirá de insumo para generar una nueva salida del tablero de control.</t>
  </si>
  <si>
    <t xml:space="preserve">Matrices de seguimiento POA mayo-junio (y otros)  publicadas en carpeta Utilidades / Dir. Planeación y sistemas / Dir. Planeación institucional y calidad / Seguimiento POA.   Se tiene que para el periodo abril el cumplimiento es del 100%,  mayo 90%  y junio 90%, se encuentra pendiente el reporte por parte de los procesos DUES y Jurídica.
Se consolida matriz de indicadores de eficacia, eficiencia y efectividad por proceso que servirá de insumo para generar una nueva salida del tablero de control.
Dos (2) mesas de trabajo con la Dirección de Planeación Sectorial,  donde se definió: metodología del tablero de control y revisión de funciones en común, metodología de reporte del POA y se establece el balanceo de los procesos. Documento de Alineación de la plataforma estratégica vs. procesos vs. Política y objetivos SIG. Revisión de funciones en común, tablero de control y recursos financieros a trasladar. 
</t>
  </si>
  <si>
    <t>Evitar que las dependencias que tienen a cargo proyectos de inversión no deban duplicar la información que reportan en matriz de SEGPLAN en la matriz del POA. 
Matriz indicadores eficiencia, eficacia y efectividad, metodología tablero de control, reporte POA y balanceo de procesos. Documento alineación Plataforma Estrategica - Procesos - Política y Objetivos SIG. Revisión funciones Direcciones Planeación. Tablero de Control y Recursos Financieros.
Asesoria y asistencia técnica permanente para el reporte del POA.</t>
  </si>
  <si>
    <t xml:space="preserve">Se revisan y publican los seguimientos de: Servicio al Ciudadano, Participación Social de marzo-abril, Dirección de Análisis de Entidades Públicas de enero-mayo, OCI enero-marzo. Del mes de mayo se publican y envían observaciones por correo a: Talento humano, Salud colectiva, Epidemiología, Servicio a la ciudadanía, Participación social, Oficina asuntos disciplinarios, Entidades públicas. Se realiza solicitud especial a Dir. Urgencias y Emergencias el día 14/07/15 por retraso en el envío del seguimiento desde el mes de marzo. (Soporte: Utilidades / Dir. Planeación y sistemas / Dir. Planeación institucional y calidad / Seguimiento POA). 
Se remiten nuevamente las matrices para hacer seguimiento pues se incluyeron dos (2) indicadores transversales del SIG. 
Se consolida matriz de indicadores de eficacia, eficiencia y efectividad por proceso que servirá de insumo para generar una nueva salida del tablero de control.
Se realiza ajuste al diseño del tablero de evaluación del SIG y se consolida evaluación de los indicadores transversales del SIG del 2do. Trimestre 2015. Se entrega Tablero de evaluación del SIG 2do. trimestre 2015 ajustado y evaluado según nuevos criterios. Se remite a todos los gestores y referentes el día 10/07/15 con los ajustes solicitados en la calificación. Adicionalmente se definen las actividades a evaluar para el 3er trimestre. </t>
  </si>
  <si>
    <t>La Dirección de Planeación Institucional partició en la revisión del proceso que definía los Indicadores de gestión del trimestre basado en la Guía de la Alcaldía de Planificación Operativa, tambien en la actividad de caracterización socio demográfica TH SDS  y apoyó los temas de afiliación al SGRL Intervención de Peligros identificados y Prevención y preparación para la atención de Emergencias.  Se tiene previsto para los meses subsiguientes continuar realizando seguimiento y monitoreo a los temas de afiliación e intervención de peligros identificados.</t>
  </si>
  <si>
    <t>La Dirección de Planeación Institucional  participó en el diseño y desarrollo de una estrategia de socialización de las políticas de seguridad de la información en conjunto con la dirección TIC .  De igual manera, realizó socialización mediante correo electrónico de la Enciclopedia Tomo 3 con los compañeros de la dirección de Planeación y Calidad.
Por otro lado, participó y monitoreó la participación del resto de los procesos en la capacitación de seguridad de la información.</t>
  </si>
  <si>
    <t>Se realizó la actualizacion del MECI, desde la solicitud a las dependencias y recolección de la información para la actualización del mapa conceptual del MECI en el aplicativo ISOLUCION.  De igual manera, efectuó la actualización de los registros e hipervínculos de los planes, programas y proyectos de la SDS contenidos en el  módulo MECI, en el aplicativo ISOLUCION para el elemento Direccionamiento Estratégico.</t>
  </si>
  <si>
    <t>Se llevan a cabo diferentes campañas y actividades que fueron incluidas en el Plan Institucional de Gestión Ambiental (PIGA): Participación y seguimiento a la entrega de plántulas de guayaba blanca como parte de las actividades de celebración de la semana ambiental-4 de junio de 2015,  realización, asesoría y seguimiento a la actividad denominada: “5 ESES” realizada en la entidad principalmente en el área correspondiente a Planeación Institucional y calidad y de apoyo en el área de la Dirección de Calidad en Servicios de Salud y  presentación de resultados de evaluación y de evidencias fotográficas de los puestos de trabajo en el comité de Gestión Ambiental, Capacitación para el personal de servicios generales en el marco de la visita que realizará a la entidad la Secretaría Distrital de Ambiente, esta incluyó temas de Segregación de Residuos, elementos de seguridad industrial e higiene en el trabajo y etiquetado y manipulación de residuos, con el fin de generar conciencia y articulación con los demás subsistemas.
Reunión con representantes del Observatorio Ambiental, el motivo solicitud desde el Comité de Gestión Ambiental para apoyo metodológico en el levantamiento de procedimientos.</t>
  </si>
  <si>
    <t xml:space="preserve">La Dirección de Planeación Institucional continua con el acompañamiento en las reuniones entre el Archivo Central y los gestores y referentes de archivo de cada proceso,  logrando orientar a todos los procesos en la actualización de los dos principales elementos del Subsistema de Gestión Documental y Archivo (Tablas de retención documental (TRD) y elaboración de Cuadros de caracterización documental).
</t>
  </si>
  <si>
    <t xml:space="preserve">Se llevan a cabo 2 mesas de trabajo con la Dirección de planeación sectorial para revisar metodología del tablero de control y revisión de funciones en común, el día 30/06/15 en la que se define metodología de reporte del POA y se establece el balanceo de los procesos. 
Elaboración del documento de Alineación de la plataforma estratégica vs. procesos vs. Política y objetivos SIG y se remite a Claudia Romero, Ana Cárdenas .
El día 01/07/15. El día 08/07/15 se realiza reunión con Dra. Azucena Forero, Sandra Gómez de la DPS para revisar funciones en común, tablero de control y recursos financieros a trasladar. 
Solicitud a la Dirección de Planeación Sectorial solicitando ajustes en el análisis del indicador “Porcentaje ejecución presupuestal”.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</si>
  <si>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Código: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</si>
  <si>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</si>
  <si>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Código: </t>
    </r>
    <r>
      <rPr>
        <sz val="9"/>
        <color indexed="8"/>
        <rFont val="Arial"/>
        <family val="2"/>
      </rPr>
      <t>114 - PLI - FT -  062 V.01</t>
    </r>
  </si>
  <si>
    <t xml:space="preserve">EJE ESTRATÉGICO DEL PLAN DE DESARROLLO BOGOTA HUMANA 2012-2016: UNA BOGOTA EN DEFENSA Y FORTALECIMIENTO DE LO PUBLICO </t>
  </si>
  <si>
    <t>EJE ESTRATÉGICO DEL PLAN TERRITORIAL DE SALUD PARA BOGOTÁ 2012-2016: COMPONENTE DE GOBERNANZA Y RECTORÍA</t>
  </si>
  <si>
    <t>PROGRAMA DEL PLAN DE DESARROLLO BOGOTA HUMANA 2012-2016:  BOGOTA DECIDE Y PROTEGE EL DERECHO FUNDAMENTAL A LA SALUD PUBLICA</t>
  </si>
  <si>
    <t>PROYECTO DE INVERSIÓN DEL PLAN DE DESARROLLO BOGOTA HUMANA 2012-2016:  FORTALECIMIENTO DE LA GESTIÓN Y PLANEACIÓN PARA LA SALUD</t>
  </si>
  <si>
    <t>NUMERO
META
SEGPLAN</t>
  </si>
  <si>
    <t>PROYECTO</t>
  </si>
  <si>
    <t>VALOR APROPIACIÓN</t>
  </si>
  <si>
    <t>DIFICULTADES</t>
  </si>
  <si>
    <t>TIPO DE POBLACIÓN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</si>
  <si>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</si>
  <si>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</si>
  <si>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</si>
  <si>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</si>
  <si>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</si>
  <si>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</si>
  <si>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</si>
  <si>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</si>
  <si>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</si>
  <si>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</si>
  <si>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</si>
  <si>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</si>
  <si>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</si>
  <si>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</si>
  <si>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</si>
  <si>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</si>
  <si>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e04o01m01-617</t>
  </si>
  <si>
    <t xml:space="preserve">Promoción  Social </t>
  </si>
  <si>
    <t>04</t>
  </si>
  <si>
    <t>01</t>
  </si>
  <si>
    <t>DESPLAZADOS INDÍGENAS</t>
  </si>
  <si>
    <t>DESPLAZADOS ROM</t>
  </si>
  <si>
    <t>DESPLAZADOS AFRODESCENDIENTES</t>
  </si>
  <si>
    <t>DESPLAZADOS RAIZAL</t>
  </si>
  <si>
    <t>DESPLAZADOS PALENQUERO</t>
  </si>
  <si>
    <t>DESPLAZADOS (OTROS)</t>
  </si>
  <si>
    <t>TOTAL DESPLAZADOS</t>
  </si>
  <si>
    <t>DESPLAZADOS CABEZA DE FAMILIA</t>
  </si>
  <si>
    <t>INDÍGENAS</t>
  </si>
  <si>
    <t>ROM</t>
  </si>
  <si>
    <t>AFRODESCENDIENTES</t>
  </si>
  <si>
    <t>RAIZAL</t>
  </si>
  <si>
    <t>PALENQUERO</t>
  </si>
  <si>
    <t>NINGUNO DE LOS ANTERIORES</t>
  </si>
  <si>
    <t>TOTAL DE LA POBLACIÓN</t>
  </si>
  <si>
    <t>POBLACIÓN VINCULADA</t>
  </si>
  <si>
    <t>e04o01m02-617</t>
  </si>
  <si>
    <t>02</t>
  </si>
  <si>
    <t xml:space="preserve">Formular y Gestionar 20 planes locales armonizados a las políticas públicas en salud, Plan de Desarrollo Distrital y necesidades de los territorios en el Distrito Capital. </t>
  </si>
  <si>
    <t>e04o01m03-617</t>
  </si>
  <si>
    <t>Garantizar el financiamiento del 100% del  Plan Territorial de Salud.</t>
  </si>
  <si>
    <t>e04o02m01-617</t>
  </si>
  <si>
    <t>e04o02m02</t>
  </si>
  <si>
    <t>e04o02m02-617</t>
  </si>
  <si>
    <t>La acreditación de la SDS</t>
  </si>
  <si>
    <t xml:space="preserve">
Esta meta se cumplió a Diciembre de 2014, teniendo en cuenta que el Artículo 3 del Decreto 903 de 2014 indica que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 la cual fue obtenida por la SDS en el año 2011. Por lo tanto la SDS no deberá acreditarse para alcanzar niveles superiores de calidad.</t>
  </si>
  <si>
    <t>Esta meta se cumplió a Diciembre de 2014, teniendo en cuenta que el Artículo 3 del Decreto 903 de 2014 indica que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 la cual fue obtenida por la SDS en el año 2011. Por lo tanto la SDS no deberá acreditarse para alcanzar niveles superiores de calidad.</t>
  </si>
  <si>
    <t>e04o02m03</t>
  </si>
  <si>
    <t>e04o02m03-617</t>
  </si>
  <si>
    <t>La certificación de la SDS</t>
  </si>
  <si>
    <r>
      <t xml:space="preserve">JULIO 2015 
</t>
    </r>
    <r>
      <rPr>
        <sz val="9"/>
        <color indexed="8"/>
        <rFont val="Arial Narrow"/>
        <family val="2"/>
      </rPr>
      <t xml:space="preserve">. Planeación institucional: 
Se revisan y publican los seguimientos de: Servicio al Ciudadano, Participación Social de marzo-abril, Dirección de Análisis de Entidades Públicas de enero-mayo, OCI enero-marzo. Del mes de mayo se publican y envían observaciones por correo a: Talento humano, Salud colectiva, Epidemiología, Servicio a la ciudadanía, Participación social, Oficina asuntos disciplinarios, Entidades públicas. Se realiza solicitud especial a Dir. Urgencias y Emergencias el día 14/07/15 por retraso en el envío del seguimiento desde el mes de marzo. (Soporte: Utilidades / Dir. Planeación y sistemas / Dir. Planeación institucional y calidad / Seguimiento POA). 
Se remiten nuevamente las matrices para hacer seguimiento pues se incluyeron dos (2) indicadores transversales del SIG. 
Se llevan a cabo 2 mesas de trabajo con la Dirección de planeación sectorial para revisar metodología del tablero de control y revisión de funciones en común, el día 30/06/15 en la que se define metodología de reporte del POA y se establece el balanceo de los procesos. El día 01/07/15 se elabora documento de Alineación de la plataforma estratégica vs. procesos vs. Política y objetivos SIG y se remite a Claudia Romero, Ana Cárdenas. El día 08/07/15 se realiza reunión con Dra. Azucena Forero, Sandra Gómez de la DPS para revisar funciones en común, tablero de control y recursos financieros a trasladar. 
Se consolida matriz de indicadores de eficacia, eficiencia y efectividad por proceso que servirá de insumo para generar una nueva salida del tablero de control.
2. Sistema de gestión de calidad:
Se diseña test de conocimientos sobre temas de Calidad (5 preguntas) y se aplica el día 06/07/15 a todos los integrantes de la Dirección de Planeación Institucional y Calidad.
La Dirección continua brindando asesoría metodológica en el desarrollo de las auditorías internas de calidad 2015, revisando los planes de auditoría y listas de chequeo presentadas por los auditores.  Se convoca al grupo de auditores internos de calidad para reunión general el día 22/06/15 para presentar las generalidades del proceso de auditoría 2015. Se participa en reunión con el Jefe de la OCI para definir aspectos generales de las auditorías y revisar instrumentos de auditoría. Se genera siguiente versión del Plan de auditoría, se revisan demás instrumentos y se envían a todos los auditores el día 26/06/15. Se crea matriz de relación de requisitos de la NTCGP 1000:2009. Se revisan y retroalimentan por correo las listas de chequeo de los procesos ESC, BYS, JUR, COM, GSP, IVC, GTH, GCI, GSS, GTIC.
De igual manera, desde esta Dirección se generó la lista de chequeo y auditoría al proceso de Comunicaciones en Salud y se realizarán las Auditorias de Calidad a los procesos de Gestión Financiera, IVC y Gestión Jurídica.
Se documenta la propuesta de actualización de la gestión documental del proceso Planeación institucional y calidad, de igual forma se trabaja en la redacción del documento relacionado con los lineamientos documentales para la actualización de adjuntos y procedimientos, de manera conjunta con Luis Carlos Martinez y Olga Vargas.
Se realiza ajuste al diseño del tablero de evaluación del SIG y se consolida evaluación de los indicadores transversales del SIG del 2do. Trimestre 2015. Se entrega Tablero de evaluación del SIG 2do. trimestre 2015 ajustado y evaluado según nuevos criterios. Se remite a todos los gestores y referentes el día 10/07/15 con los ajustes solicitados en la calificación. Adicionalmente se definen las actividades a evaluar para el 3er trimestre. 
Por otro lado, se oficia a la Dirección de Planeación Sectorial solicitando ajustes en el análisis del indicador “Porcentaje ejecución presupuestal”. 
</t>
    </r>
  </si>
  <si>
    <t xml:space="preserve">HASTA JULIO:
1. Planeación Institucional - Con corte a julio se ha logrado:
Matrices de seguimiento POA mayo-junio (y otros)  publicadas en carpeta Utilidades / Dir. Planeación y sistemas / Dir. Planeación institucional y calidad / Seguimiento POA.   Se tiene que para el periodo abril el cumplimiento es del 100%,  mayo 90%  y junio 90%, se encuentra pendiente el reporte por parte de los procesos DUES y Jurídica.
Se consolida matriz de indicadores de eficacia, eficiencia y efectividad por proceso que servirá de insumo para generar una nueva salida del tablero de control.
Dos (2) mesas de trabajo con la Dirección de Planeación Sectorial,  donde se definió: metodología del tablero de control y revisión de funciones en común, metodología de reporte del POA y se establece el balanceo de los procesos. Documento de Alineación de la plataforma estratégica vs. procesos vs. Política y objetivos SIG. Revisión de funciones en común, tablero de control y recursos financieros a trasladar. 
2. Sistema de gestión de calidad - Con corte a julio se ha logrado:
Aplicación test de conocimiento temas Calidad en la Dirección Planeación Institucional y Calidad.
Asesoría metodológica en el desarrollo de las auditorias internas de calidad 2015 al equipo de auditores frente a los planes de auditoría y listas de verificación.
Preparación y desarrollo de las auditorías de Calidad de los procesos Gestión de Comunicaciones, Gestión Financiera, IVC y Gestión Jurídica.
Documentación propuesta de actualización de la gestión documental del proceso Planeación institucional y calidad.  Documento denominado Lineamientos documentales para la actualización de adjuntos y procedimientos.
Diseño del tablero de evaluación del SIG,  consolidación evaluación Indicadores transversales del SIG del 2do. Trimestre 2015. Tablero de evaluación del SIG 2do. trimestre 2015 ajustado y evaluado. Definición de actividades a evaluar para el 3er trimestre Tablero SIG. 
Solicitud ajustes en el análisis del indicador “Porcentaje ejecución presupuestal” a Planeación Sectorial.
Apoyo a la DGTH en la actualización del módulo 2 (estrategia E.learning) del proceso de inducción sobre SIG y actualización guion. 
Se realiza capacitación presencial a funcionarios del despacho (22 de Julio) y se ejecuta medición de conocimientos sobre mapa de procesos. 
Finalizó el proceso de migración de la gestión documental formalizada en el aplicativo Isolución con base en la nueva estructura organizacional y mapa de procesos (100%), actualización documental migrada (70%).
Soporte y gestión de casos de ISOLUCION (29 casos reportados).  Segunda revisión de los ajustes adicionales al módulo de mejoramiento en el aplicativo ISOLUCION remitiéndose el documento de observaciones a la Firma ISOLUCION. Se realiza inactivación de la codificación 114 cumplimiento lineamiento de migración documental.  Reporte de 62 documentos con inconsistencias en la codificación los cuales no fueron migrados. Validación de documentos con código 114 no reportados en la matriz de migración, se relacionan 187 documentos pendientes, se consolida y remiten a los referentes SIG la matriz para su respectivo diligenciamiento (Ivan Bautista y Deisy Ramirez) para que procedan a la actualización.
Se realiza capacitación sobre la migración documental y elementos básicos de la plataforma ISOLUCION, realizada en la sala vive digital el día 08/07/2015, con los gestores y referentes nuevos.
</t>
  </si>
  <si>
    <r>
      <rPr>
        <b/>
        <sz val="9"/>
        <color indexed="8"/>
        <rFont val="Arial Narrow"/>
        <family val="2"/>
      </rPr>
      <t>HASTA JULIO</t>
    </r>
    <r>
      <rPr>
        <sz val="9"/>
        <color indexed="8"/>
        <rFont val="Arial Narrow"/>
        <family val="2"/>
      </rPr>
      <t xml:space="preserve">
1. Planeación Institucional - Con corte a julio se han obtenido los siguientes resultados:
Evitar que las dependencias que tienen a cargo proyectos de inversión no deban duplicar la información que reportan en matriz de SEGPLAN en la matriz del POA. 
Matriz indicadores eficiencia, eficacia y efectividad, metodología tablero de control, reporte POA y balanceo de procesos. Documento alineación Plataforma Estratégica - Procesos - Política y Objetivos SIG. Revisión funciones Direcciones Planeación. Tablero de Control y Recursos Financieros.
Asesoría y asistencia técnica permanente para el reporte del POA.
2. Sistema de Gestión de Calidad - Con corte a julio se han obtenido los siguientes resultados:
Inicio del ciclo de las Auditorias Internas  de Calidad, la Dirección de Planeación Institucional y Calidad participó en la verificación de instrumentos (planes de auditoria y listas de  verificación) y desarrollará Auditorias en cuatro (4) procesos.
Diseño Tablero SIG, consolidación indicadores transversales 2do trimestre y definición de indicadores 3er trimestre.
Capacitación funcionarios del Despacho y medición de adherencia conocimientos.
Proceso de migración de la gestión documental (100%), actualización documental migrada (70%).
Normograma institucional (80%). Revisión del procedimiento "Cumplimiento de lo legal", pendiente aprobación por Jurídica y flujo de aprobación.
Seguimiento a los avances de las acciones correctivas 1027 - auditoria Icontec.  Ajustes a la matriz de identificación de clientes,  producto desarrollado en un 80%, 1032.  Inclusión de acciones correctivas aplicativo Isolución  producto de revisión por la dirección Números 1020,1021,1022,1024,1025,1026,1027,1028,1029,1030,1031,1032,1033 y acciones preventivas 115,116,117,118,119,120,121.
Entrega final de compromisos Trazabilidad cuentas Hospitales.
114 asesorías y asistencias técnicas en diferentes temas relacionados con la implementación de los </t>
    </r>
  </si>
  <si>
    <t>DESPLAZADOS INDIGENAS</t>
  </si>
  <si>
    <t>INDIGENAS</t>
  </si>
  <si>
    <t>e04o03m01</t>
  </si>
  <si>
    <t>e04o03m01-617</t>
  </si>
  <si>
    <t xml:space="preserve">Número total de subsistemas implementados </t>
  </si>
  <si>
    <r>
      <t xml:space="preserve">JULIO 2015
</t>
    </r>
    <r>
      <rPr>
        <sz val="9"/>
        <rFont val="Arial Narrow"/>
        <family val="2"/>
      </rPr>
      <t xml:space="preserve">Subsistema gestión documental y archivo: La Dirección de Planeación Institucional continua con el acompañamiento en las reuniones entre el Archivo Central y los gestores y referentes de archivo de cada proceso para dar a conocer los lineamientos para la actualización de las Tablas de retención documental (TRD) y elaboración de Cuadros de caracterización documental. 
Subsistema gestión ambiental: Se llevan a cabo diferentes campañas y actividades que fueron incluidas en el Plan Institucional de Gestión Ambiental (PIGA) y aprobadas por el Comité de Gestión Ambiental. Estas son: Capacitación para el personal de servicios generales en el marco de la visita que realizará a la entidad la Secretaría Distrital de Ambiente, esta incluyó temas de Segregación de Residuos, elementos de seguridad industrial e higiene en el trabajo y etiquetado y manipulación de residuos.
De igual manera, se continua con el acompañamiento y participación en las reuniones del Comité ambiental y del comité del PIGHRS.
Por otro lado,  se sostuvo reunión con representantes del Observatorio Ambiental, el motivo solicitud desde el Comité de Gestión ambiental para apoyo metodológico en el levantamiento de procedimientos.
Generales a todos los subsistemas:
Se realiza actualización de los registros e hipervínculos de los planes, programas y proyectos de la SDS contenidos en el  módulo MECI, en el aplicativo ISOLUCION para el elemento Direccionamiento Estratégico.
Participación y monitoreo de participación del resto de los procesos en la capacitación de seguridad de la información.
Subsistema de Seguridad y Salud en el Trabajo: La Dirección de Planeación Institucional  continua haciendo monitoreo y apoyo en los temas de afiliación al SGRL Intervención de Peligros identificados y Prevención y preparación para la atención de Emergencias.
</t>
    </r>
  </si>
  <si>
    <r>
      <rPr>
        <b/>
        <sz val="9"/>
        <color indexed="8"/>
        <rFont val="Arial Narrow"/>
        <family val="2"/>
      </rPr>
      <t>HASTA JULIO 2015</t>
    </r>
    <r>
      <rPr>
        <sz val="9"/>
        <color indexed="8"/>
        <rFont val="Arial Narrow"/>
        <family val="2"/>
      </rPr>
      <t xml:space="preserve">
 Con corte a julio se ha logrado en la implementación de los subsistemas: 
Subsistema de gestión ambiental:
Participación activa en actividades programadas desde el Comité,  como Capacitación para el personal de servicios generales en el marco de la visita que realizará a la entidad la Secretaría Distrital de Ambiente, esta incluyó temas de Segregación de Residuos, elementos de seguridad industrial e higiene en el trabajo y etiquetado y manipulación de residuos, con el fin de generar conciencia y articulación con los demás subsistemas.
Subsistema gestión documental y archivo:
Se logra orientar a todos los procesos en la actualización de los dos principales elementos del Subsistema de Gestión Documental y Archivo. 
Subsistema de seguridad de la información:
Participación y monitoreo de participación del resto de los procesos en la capacitación de seguridad de la información.
Subsistema de seguridad y salud en el trabajo:
Se continua haciendo seguimiento a temas álgidos como la afiliación al SGRL  y la Intervención de Peligros identificados.
Subsistema de control interno:
Se realizó actualización de los registros e hipervínculos de los planes, programas y proyectos de la SDS contenidos en el  módulo MECI, en el aplicativo ISOLUCION para el elemento Direccionamiento Estratégico.
</t>
    </r>
  </si>
  <si>
    <r>
      <rPr>
        <b/>
        <sz val="9"/>
        <color indexed="8"/>
        <rFont val="Arial Narrow"/>
        <family val="2"/>
      </rPr>
      <t>HASTA JULIO 2015</t>
    </r>
    <r>
      <rPr>
        <sz val="9"/>
        <color indexed="8"/>
        <rFont val="Arial Narrow"/>
        <family val="2"/>
      </rPr>
      <t xml:space="preserve">
Mayor avance en la implementación de 3 de los 8 subsistemas que conforman el sistema integrado de gestión (Gestión ambiental, seguridad de la información, seguridad y salud en el trabajo) de acuerdo con los requerimientos exigidos en la norma NTD SIG 001:2011 y las directrices emitidas por la Secretaría General.
Implementación de acciones encaminadas al fortalecimiento de los subsistemas y al involucramiento de los servidores públicos vinculados a la SDS.
</t>
    </r>
  </si>
  <si>
    <t xml:space="preserve">Mayor avance en la implementación de 3 de los 8 subsistemas que conforman el sistema integrado de gestión (Gestión ambiental, seguridad de la información, seguridad y salud en el trabajo) de acuerdo con los requerimientos exigidos en la norma NTD SIG 001:2011 y las directrices emitidas por la Secretaría General.
Implementación de acciones encaminadas al fortalecimiento de los subsistemas y al involucramiento de los servidores públicos vinculados a la SDS.
</t>
  </si>
  <si>
    <t xml:space="preserve">
De acuerdo con los temas tratados en Comité del SIG se identificó que existe la problemática de no contar con el grupo completo de gestores y referentes para los temas del SIG, para lo cual se decide remitir memorando a todas las dependencias solicitando designen por proceso los referentes para cada uno de los temas.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</si>
  <si>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</si>
  <si>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</si>
  <si>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Código: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</si>
  <si>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</si>
  <si>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</si>
  <si>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</si>
  <si>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</si>
  <si>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</si>
  <si>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</si>
  <si>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</si>
  <si>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</si>
  <si>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</si>
  <si>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</si>
  <si>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</si>
  <si>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</si>
  <si>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</si>
  <si>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</si>
  <si>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</si>
  <si>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Construir y poner en funcionamiento un sistema de Análisis y Evaluación y Políticas de Salud para el Distrito Capital como base para la formulación y ajuste de planes, programas y proyectos, al 2016.</t>
  </si>
  <si>
    <t>Diseño e implementación de instrumentos de seguimiento y evaluación de las políticas en salud del Distrito Capital.</t>
  </si>
  <si>
    <t>Porcentaje de avance en el diseño e implementación de instrumentos de seguimiento y evaluación</t>
  </si>
  <si>
    <r>
      <t>JULIO
*</t>
    </r>
    <r>
      <rPr>
        <sz val="8"/>
        <rFont val="Tahoma"/>
        <family val="2"/>
      </rPr>
      <t>Se hizo revisión de los procedimientos del proceso políticas públicas para la calidad de vida y la salud (formulación, implementación y evaluación) y se consolidó en un único procedimiento llamado “desarrollo de políticas  públicas para la calidad de vida y la salud”.
*De manera conjunta con la Subsecretaría de Salud Pública se asiste a las mesas de trabajo [clasificadas por Derechos de NNA], del 8 al 17 de julio, convocadas por la Secretaría Distrital de Integración Social para el análisis de los 36 indicadores que dan cuenta de la gestión de la SDS para la implementación de la Política de Infancia y Adolescencia y los 10 indicadores de Juventud.</t>
    </r>
  </si>
  <si>
    <t>Asistencia  técnica  a los referentes de políticas en salud de  responsabilidad de la entidad, en la aplicación de la metodología definida para el análisis y evaluación en sus diferentes etapas.</t>
  </si>
  <si>
    <t xml:space="preserve">porcentaje de avance de asistencia técnica a los referentes de políticas
</t>
  </si>
  <si>
    <r>
      <t xml:space="preserve">JULIO
</t>
    </r>
    <r>
      <rPr>
        <sz val="8"/>
        <rFont val="Tahoma"/>
        <family val="2"/>
      </rPr>
      <t xml:space="preserve">Se envió a los referentes del grupo interdirecciones de políticas públicas, a los referentes normativos, correo informando de proyectos de ley de afiliación al SGSSS y unificación de la reglamentación del SGSSS.
Se envió a referente de SAN proyectos normativos relacionados con desnutrición y sodio para su revisión y aportes. Se envió a referentes de la política de mujer y género Ley 1761 de 2015 relacionada con feminicidio.
Además se envió a referente jurídico de la Dirección de Planeación y gestión sectorial estas normas.
</t>
    </r>
  </si>
  <si>
    <t xml:space="preserve">Seguimiento y análisis de las políticas en salud  en la etapa del Ciclo en la que se encuentre la política. </t>
  </si>
  <si>
    <t>Porcentaje de avance en el seguimiento y análisis de las políticas en salud</t>
  </si>
  <si>
    <r>
      <t xml:space="preserve">JULIO
</t>
    </r>
    <r>
      <rPr>
        <sz val="8"/>
        <rFont val="Tahoma"/>
        <family val="2"/>
      </rPr>
      <t>De acuerdo con la información que debe presentarse en el Módulo 1 del informe de Rendición de cuentas Infancia y Adolescencia,  se realizan, las observaciones de matriz de gasto público y social del sector salud para la implementación de la Política Pública de Infancia Adolescencia para los años 2012 a 2014 y proyección presupuestal 2015-2016, remitidas por la Secretaría de Hacienda (Matriz de gasto público y social del sector salud para la implementación de la Política Pública de Infancia Adolescencia 2012 a 2014 y proyección presupuestal 2015-2016, con ajustes  remitida a la Secretaría de Hacienda)</t>
    </r>
  </si>
  <si>
    <t>Diseño de  estrategias para realizar seguimiento a la gestión institucional e implementación de las políticas de salud.</t>
  </si>
  <si>
    <t xml:space="preserve"> % de avance en el diseño de las estrategias para el seguimiento a la gestión institucional e implementación de las políticas de salud.
</t>
  </si>
  <si>
    <r>
      <t xml:space="preserve">JULIO
</t>
    </r>
    <r>
      <rPr>
        <sz val="8"/>
        <rFont val="Tahoma"/>
        <family val="2"/>
      </rPr>
      <t>Se realizó asesoría y asistencia técnica en seguimiento, y monitoreo de proyectos de inversión local de salud a las localidades en los proyectos que se relacionan a continuación:
Ciudad Bolivar: Derechos sexuales y reproductivos 0,30% avance físico y 1,88% Financiero.
discapacidad física y cognitiva  1,68%  físico y 2,37%  financiero.
Usme: 2014 Banco de ayudas técnicas físico 71% y financiera 41%. vectores 100%  físico, y financiero.  Promoción y Prevención 100%. Salud Oral: Físico 100% y financiero 90%.
Puente Aranda:    Componente de Salud Oral:  El contrato de suministros de insumos se ejecuto al 100%. Ayudas Técnicas: Ejecución Física 15,05% . 
Kennedy:  Componente de Salud mental, Salud Nutricional y Banco de ayudas Técnicas (PyP) Vigencia 2013: Ejecución física 99%.  
Componente de control de vectores:  física acumulada 70%. Adición Vigencia 2014:  física acumulada 15%. 
Fontibón:  
Componente Ámbito Escolar: física 20% 
Componente de Control de vectores: Ejecución física acumulada 15% 
Componente de Salud sexual y reproductiva: Ejecución física acumulada 35%. 
Componente Ayudas Técnicas: Ejecución física acumulada 33%
Santafé:
Convenio Interadministrativo CIA 104-2013 Ortodoncia 49,16% 
CIA 060-2013 SAMA Santafé Adición y prorroga recursos 2013-2014 Ejecución Final 97,27%
CIA 077-2014  Banco de Ayudas Técnicas 91,73%
CIA 075/2014  Ruta Saludable 56%
CIA 079/2014  Promoción y prevención.  28,19%
CIA 135/14  COPACO Ejecución Final 100%
Candelaria:
CIA 148/2014 Tenencia de mascotas 15,42%
CIA 080-2014 Banco de Ayudas Técnicas  90,28%
CIA 079-2014 Promoción y Prevención 80,85%
CIA 132-2014 Hidroterapia e hipoterapia 7%
Rafael Uribe:
Convenio de Asociación CAS 131/2014  Salud Oral persona adulta 23%
CIA 129-2014  Banco de Ayudas Técnicas 6,86%
Antonio Nariño:
CIA 143-2014  Salud Sexual y Reproductiva 46%, Salud Oral 16% y Salud Mental 41%
CIA 125-2014  Banco de Ayudas Técnicas 12%
Mártires:
CIA 113-2014 : Banco de Ayudas técnicas, Vacunación No POS, Salud oral, Salud Sexual, Programas de atención y formación sexual y reproductiva Prevención de consumo de SPA y Jornadas de esterilización, vacunación, identificación y adopción de caninos y felinos.  6,51%</t>
    </r>
    <r>
      <rPr>
        <b/>
        <sz val="8"/>
        <rFont val="Tahoma"/>
        <family val="2"/>
      </rPr>
      <t xml:space="preserve">
</t>
    </r>
  </si>
  <si>
    <t xml:space="preserve">Evaluación de las políticas de salud incorporadas en los planes locales a través de la implementación de las estrategias </t>
  </si>
  <si>
    <t xml:space="preserve"> % de avance en el seguimiento y evaluación de la gestión de las políticas de salud.
</t>
  </si>
  <si>
    <r>
      <t xml:space="preserve">JULIO
</t>
    </r>
    <r>
      <rPr>
        <sz val="8"/>
        <rFont val="Tahoma"/>
        <family val="2"/>
      </rPr>
      <t>Se trabaja en coordinación con los grupos funcionales de salud mental y discapacidad para hacer seguimiento a la incorporación de políticas en planes locales y líneas de inversión de UEL. Adicionalmente se coordina con referentes de salud pública de Salud Sexual y Reproductiva y salud ambiental para coordinar líneas técnicas de los proyectos UEL.</t>
    </r>
  </si>
  <si>
    <t>Insuficiencia de personal en las redes territoriales para el ejercicio de la función</t>
  </si>
  <si>
    <t>Articulación de propuestas estratégicas de concurrencia, complementariedad y/o subsidiariedad para el desarrollo de políticas públicas en salud, a nivel distrital y local.</t>
  </si>
  <si>
    <t xml:space="preserve">% de avance en  la articulación de propuestas de concurrencia, complementariedad y/o subsidiariedad para el desarrollo de políticas publicas en salud, a nivel Distrital y Local. 
</t>
  </si>
  <si>
    <r>
      <t xml:space="preserve">JULIO
</t>
    </r>
    <r>
      <rPr>
        <sz val="8"/>
        <rFont val="Tahoma"/>
        <family val="2"/>
      </rPr>
      <t>Se han desarrollado las líneas de inversión local definidas para el sector: 1. Promoción y prevención: Salud Mental,  vacunación, promoción de salud, salud oral
2. Promoción de la exigibilidad del derecho
3. Atención integral a personas en condición de discapacidad- Banco de ayudas técnicas.
4. Vigilancia y control en salud pública: Vectores y roedores
5. Cuidado y manejo de mascotas
Y las líneas transectoriales:
1. Prevención de consumo de sustancias psicoactivas
2. Promoción y prevención en el marco de derechos sexuales y reproductivos</t>
    </r>
    <r>
      <rPr>
        <b/>
        <sz val="8"/>
        <rFont val="Tahoma"/>
        <family val="2"/>
      </rPr>
      <t xml:space="preserve">
</t>
    </r>
  </si>
  <si>
    <t>Gestión, asesoría, apoyo técnico y administrativo para la destinación de recursos que fortalezcan la inversión en salud por parte de los fondos de desarrollo local, según las líneas de inversión definidas.</t>
  </si>
  <si>
    <t xml:space="preserve">% de avance en la gestión, asesoría, apoyo técnico y administrativo para la destinación de recursos en salud, por parte de los Fondos de Desarrollo local.
</t>
  </si>
  <si>
    <r>
      <t xml:space="preserve">JULIO
</t>
    </r>
    <r>
      <rPr>
        <sz val="8"/>
        <rFont val="Tahoma"/>
        <family val="2"/>
      </rPr>
      <t xml:space="preserve">Articulación con las alcaldías locales para nuevos proyectos y recursos establecidos en los planes de desarrollo local para vigencia 2015. </t>
    </r>
  </si>
  <si>
    <t xml:space="preserve">
Es importante que las Alcaldías locales formulen proyectos para la vigencia 2015 antes de la Ley de garantías. Algunas Alcaldías como Usme, Engativá, Barrios Unidos, Santa Fe, Mártires, Bosa, Tunjuelito, San Cristóbal, Suba no han enviado los proyectos.</t>
  </si>
  <si>
    <t>Formulación e Implementación de la política de financiamiento del sector salud</t>
  </si>
  <si>
    <t xml:space="preserve">Porcentaje de avance en la formulación e  implementación de estrategias para la sostenibilidad  financiera de la política pública del sector salud
</t>
  </si>
  <si>
    <r>
      <t>JULIO
*</t>
    </r>
    <r>
      <rPr>
        <sz val="8"/>
        <rFont val="Tahoma"/>
        <family val="2"/>
      </rPr>
      <t>Se asistió a reunión para la socialización de la directiva 009 de 2015, mediante la cual se deben realizar los informes de entrega de administración y construcción del diagnóstico del sector.
* Preparar y consolidar la información financiera necesaria para la elaboración de la proyección del presupuesto para el año 2016 del FFDS teniendo en cuenta la normatividad vigente en cada caso, utilizando las diferentes herramientas necesarias para su presentación y aprobación
*Se elaboró el Plan Financiero Distrital para enviarlo el día 17 de julio a SHD- se ha dado cumplimiento a lo establecido en la circular conjunta 002 de 2015</t>
    </r>
  </si>
  <si>
    <t>Formulación e implementación de estrategias para garantizar el financiamiento y la sostenibilidad de las fuentes de financiación del sector salud en Bogotá</t>
  </si>
  <si>
    <t xml:space="preserve">Porcentaje de avance en el diseño e implementación de estrategias de financiamiento para garantizar el cumplimiento de las metas del Plan Territorial de Salud y el Plan de Desarrollo "Bogotá Humana" 2012-2016
</t>
  </si>
  <si>
    <r>
      <t>JULIO
*</t>
    </r>
    <r>
      <rPr>
        <sz val="8"/>
        <rFont val="Tahoma"/>
        <family val="2"/>
      </rPr>
      <t>Se acompaño y se participo, junto con la Dirección de Calidad de Servicios de salud de la Subsecretaria de Servicios de Salud y aseguramiento, en la primera parte de la capacitación sobre indicadores de reporte de 2193, derivados de la  Resolución 1446 de 2006, a los responsables de Calidad de las ESE de la red publica distrital adscrita. Esta capacitación se realizo con miras a evidenciar y mejorar el manejo de la información que se reporta a la Superintendencia Nacional de Salud y al Ministerio de salud y protección Social, previa validación por parte de la Dirección de Análisis de  Entidades Publicas Distritales del Sector Salud de la SDS.</t>
    </r>
  </si>
  <si>
    <t>Asesoría y seguimiento a las Empresas Administradoras  de los  Planes de Beneficios - EAPB en el proceso de implementación y ejecución de lo contemplado en el Plan Territorial de Salud 2012-2016</t>
  </si>
  <si>
    <t xml:space="preserve">Plan de Salud  cuatrienal anualizado por asegurador </t>
  </si>
  <si>
    <r>
      <t xml:space="preserve">JULIO
</t>
    </r>
    <r>
      <rPr>
        <sz val="8"/>
        <rFont val="Tahoma"/>
        <family val="2"/>
      </rPr>
      <t>*Asesoría técnica a las EAPB en el desarrollo de las acciones que le aportan al Plan Territorial de Salud por medio de las mesas de aseguradoras que se llevan cabo de forma mensual .
*Preparación de las asesorías técnicas para concertar el aporte de las EAPB al Plan territorial de salud.
*Se inicia la construcción del "libro blanco"</t>
    </r>
    <r>
      <rPr>
        <b/>
        <sz val="8"/>
        <rFont val="Tahoma"/>
        <family val="2"/>
      </rPr>
      <t xml:space="preserve">
</t>
    </r>
  </si>
  <si>
    <t>Asistencia técnica para la formulación, ejecución, seguimiento y evaluación de los proyectos de inversión del Fondo Financiero Distrital de Salud en el marco del Plan de Desarrollo "Bogotá Humana" 2012-2016</t>
  </si>
  <si>
    <t xml:space="preserve">Número de Proyectos del Fondo Financiero de Salud implementados </t>
  </si>
  <si>
    <r>
      <t>JULIO
*</t>
    </r>
    <r>
      <rPr>
        <sz val="8"/>
        <rFont val="Tahoma"/>
        <family val="2"/>
      </rPr>
      <t xml:space="preserve">Se revisó el seguimiento técnico financiero de los 18 proyectos de inversión del Fondo Financiero Distrital de Salud con corte a JUNIO 30 de 2015
*Preparación de Insumos para la elaboración y ajuste al documento de base de evaluación metas Plan de Desarrollo preliminar Balance de resultados 2012-2014 del mes de Mayo, con énfasis en las metas del PIC ( que incluye los Proyectos de Inversión 869- Salud Para el Buen Vivir y el 885- Salud Ambiental Junio) (Documento Preliminar de información de Resultados)
*Revisión, análisis del cumplimiento de las metas del  Proyecto 885-Salud Ambiental  del mes de Junio; reunión con delegados de Planeación Distrital y del Eje 2 Hernando Maldonado, acuerdos de gestión bajo lo normado en la directiva 009 de 2015 Junio.
*Cumplimiento a los lineamientos para el informe de cierre, el que deberá contener el informe general de la gestión y el balance de las metas Plan de Desarrollo </t>
    </r>
  </si>
  <si>
    <t>Evaluación y registro de los proyectos de las Empresas Sociales del Estado</t>
  </si>
  <si>
    <t xml:space="preserve">Número de proyectos evaluados e inscritos de las Empresas Sociales del Estado </t>
  </si>
  <si>
    <r>
      <rPr>
        <sz val="8"/>
        <rFont val="Tahoma"/>
        <family val="2"/>
      </rPr>
      <t>Evaluados: 222</t>
    </r>
    <r>
      <rPr>
        <sz val="8"/>
        <color indexed="10"/>
        <rFont val="Tahoma"/>
        <family val="2"/>
      </rPr>
      <t xml:space="preserve">
</t>
    </r>
    <r>
      <rPr>
        <sz val="8"/>
        <rFont val="Tahoma"/>
        <family val="2"/>
      </rPr>
      <t>Inscritos: 74</t>
    </r>
  </si>
  <si>
    <t xml:space="preserve">
JULIO
*1. Durante el mes de julio, se realizó la siguiente reunión con los Hospitales de la Red Norte, para el seguimiento al PBIS 2014-2015:
a. El 6 de julio, se realizo una reunión con los Hospitales Simón Bolívar III Nivel, Usme I Nivel, Tunjuelito II Nivel. Con el fin de presenta los lineamientos generales para la elaboración del Estudio de factibilidad de los proyectos de inversión que hacen parte del  Plan Bienal de Inversiones en Salud para Bogotá D.C. 2014-2015.
b. El 13 de julio, se realizo reunión con el Hospital Simón Bolívar, para el apoyo técnico para la elaboración del Estudio de factibilidad del proyecto de Inversión “Construcción y Dotación de la Nueva Torre Hospital Simón Bolívar III Nivel”.
* Se evaluaron 4  proyectos y se inscribieron2</t>
  </si>
  <si>
    <t>Articulación de instancias de coordinación distrital, local e institucional con el fin de establecer acciones  sectoriales e intersectoriales para el  seguimiento de políticas de salud y la gestión de los diferentes actores e instituciones de salud del D.C.</t>
  </si>
  <si>
    <t xml:space="preserve">INDICADOR: % de avance en la articulación de acciones  con las diferentes instancias de coordinación sectoriales e intersectoriales para el seguimiento de políticas de salud.
</t>
  </si>
  <si>
    <r>
      <t xml:space="preserve"> JULIO:
</t>
    </r>
    <r>
      <rPr>
        <sz val="8"/>
        <rFont val="Tahoma"/>
        <family val="2"/>
      </rPr>
      <t xml:space="preserve">*. Durante el mes de julio,  se realizó un análisis de las líneas de inversión para el sector salud de las Localidades, en el marco de la Directiva No. 5 2. Se realizó y se ajustó el seguimiento de los recursos ejecutados por parte de los Fondos de Desarrollo Local, con cifras premilitares con corte al 30 de junio de 2015, donde del total de los recursos asignados a los Fondos de Desarrollo Local FDL de la 20 Localidades del Distrito $675.742.683.722, se han ejecutado un total de $153.752.567.571 (22.75%) y se han realizado giros por valor de $16.726.348.183, que equivalen a tal sólo el 2.5%, del total. 
De los recursos asignados por parte de los Fondos de Desarrollo Local FDL, estos han destinado recursos de inversión para la ejecución a actividades en las líneas de inversión en salud contempladas en el Marco de la Directiva 005 de 2012, donde para la vigencia 2015, con corte 30 de junio se tienen destinados para el Sector Salud un total de $10.066.362.406, presentándose una disminución de $955.816.594, con respecto al mes de mayo de 2015.
Con corte al 30 de junio de 2015, los 20 Fondos de Desarrollo Local han realizado compromisos por valor de $667.302.359, para un nivel de ejecución de tan solo el 6,6%%. Se han realizado únicamente giros por valor de $119.574.435, que equivale al 1.2% de los compromisos realizados al 30 de junio de 2015. 
</t>
    </r>
  </si>
  <si>
    <t>Implementación de directrices y lineamientos impartidos por organismos de  dirección, vigilancia y control en salud, del orden distrital y nacional.</t>
  </si>
  <si>
    <t xml:space="preserve">INDICADOR: % de avance en la implementación de directrices y lineamientos impartidos por organismos de dirección, vigilancia y control.
</t>
  </si>
  <si>
    <r>
      <t>JULIO
*</t>
    </r>
    <r>
      <rPr>
        <sz val="8"/>
        <rFont val="Tahoma"/>
        <family val="2"/>
      </rPr>
      <t xml:space="preserve">Se consolida, revisa, analiza y se envía a la Alta consejería para las victimas el informe RUSICST, FUT e informe narrativo II Trimestre de 2015, de acuerdo a los tiempos establecidos, (Informe RUSICST, FUT e informe narrativo II Trimestre de 2015)
*Revisión y análisis de los indicadores de gestión del sector salud con la Alta Consejería.
*Presentación de las sugerencias de cambio  de los indicadores propuestos por la Alta Consejería
</t>
    </r>
  </si>
  <si>
    <t>Desarrollo de estrategias que  optimicen los recursos humanos, financieros y técnicos, destinados a la implementación de políticas de salud.</t>
  </si>
  <si>
    <t xml:space="preserve">INDICADOR: % de avance en el desarrollo de estrategias propuestas para optimizar recursos humanos, financieros y técnicos destinados a la implementación de políticas de salud.
</t>
  </si>
  <si>
    <r>
      <t xml:space="preserve">JULIO:
</t>
    </r>
    <r>
      <rPr>
        <sz val="8"/>
        <rFont val="Tahoma"/>
        <family val="2"/>
      </rPr>
      <t>*Revisar y consolidar el seguimiento a la inversión con corte a junio 30 del 2015,  del presupuesto asignado para garantizar la prestación de los  servicios de salud a la población  desplazada y/o víctima del conflicto armado; en el marco del Plan de Desarrollo “Bogotá Humana” 2012-2016. 
*Elaborar documento análisis situación del sector salud en Bogotá D. C. y prospectivas periodo 2016-2020
*Elaborar el análisis comparativo 2014/2015 con corte a marzo 31 del presupuesto de gastos de funcionamiento e inversión  asignado y ejecutado</t>
    </r>
    <r>
      <rPr>
        <b/>
        <sz val="8"/>
        <rFont val="Tahoma"/>
        <family val="2"/>
      </rPr>
      <t xml:space="preserve"> 
</t>
    </r>
    <r>
      <rPr>
        <sz val="8"/>
        <rFont val="Tahoma"/>
        <family val="2"/>
      </rPr>
      <t xml:space="preserve">*Realizar el seguimiento mensual al  Presupuesto Orientado a Resultados - POR con corte a Junio 30 del  2015 de la Secretaría Distrital de Salud y del Fondo Financiero Distrital.  </t>
    </r>
  </si>
  <si>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</si>
  <si>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Número de documento técnico de análisis de metas del Plan Territorial de Salud</t>
  </si>
  <si>
    <r>
      <t xml:space="preserve">JULIO
</t>
    </r>
    <r>
      <rPr>
        <sz val="8"/>
        <rFont val="Tahoma"/>
        <family val="2"/>
      </rPr>
      <t>*Reunión con la referente de desnutrición en menores de cinco años de la subdirección de acciones colectivas para revisar y actualizar el documento de desnutrición, definiendo criterios de salidas de información para el seguimiento a este evento.  
*Reunión con referente de acciones colectivas  salud para definir los criterios de actualización del documento de desnutrición en menores de cinco años.</t>
    </r>
    <r>
      <rPr>
        <b/>
        <sz val="8"/>
        <rFont val="Tahoma"/>
        <family val="2"/>
      </rPr>
      <t xml:space="preserve">
</t>
    </r>
  </si>
  <si>
    <t>Análisis de la situación de salud de la población del Distrito Capital a las metas de impacto de mortalidad evitable del Plan  de Desarrollo Bogotá Humana y del Territorial de Salud 2012 - 2016.</t>
  </si>
  <si>
    <r>
      <t xml:space="preserve">JULIO
</t>
    </r>
    <r>
      <rPr>
        <sz val="8"/>
        <rFont val="Tahoma"/>
        <family val="2"/>
      </rPr>
      <t>*Actualización de matriz serie de tiempo del comportamiento de la mortalidad evitable en el distrito capital. La serie de tiempo se presenta por localidad en el periodo 2001 a 2014.
*Revisión final del documento de informe definitivo del Acuerdo 489 de 2012 con el análisis y comportamiento de las metas de impacto, mortalidad evitable por localidad en el distrito capital. El análisis se realiza con corte a diciembre de 2014. El documento se envía a la Secretaría Distrital de Planeación al doctor Nelson Gerardo Pérez Aranguren y a la profesional Martha Lucia Cabanzo Vargas. 
*Elaboración preliminar del diagnóstico sectorial de salud, como parte de los informes de la situación de salud en el distrito capital para el periodo 2012 – 2015, y de insumo para la entrega de balance de la Gestión del Plan de Desarrollo “Bogotá Humana” 
*Se apoyó en la elaboración del informe a la Contraloría sobre el comportamiento de los principales indicadores de salud, en número de casos y tasas, particularmente relacionados con la mortalidad evitable y los nacimientos en mujeres adolescentes en el distrito capital durante el 2014</t>
    </r>
  </si>
  <si>
    <t>Análisis, seguimiento y evaluación de los compromisos contemplados en el Plan Territorial de salud y el Plan de Desarrollo Bogotá Humana 2012-2016</t>
  </si>
  <si>
    <t xml:space="preserve">Número de Documentos técnicos de análisis, seguimiento y evaluación de los compromisos del Plan Territorial de Salud </t>
  </si>
  <si>
    <r>
      <t xml:space="preserve">JULIO:
</t>
    </r>
    <r>
      <rPr>
        <sz val="8"/>
        <rFont val="Tahoma"/>
        <family val="2"/>
      </rPr>
      <t xml:space="preserve">• Se realiza la actualización en las fichas EBI correspondiente al seguimiento con corte al segundo trimestre de la vigencia 2015.
• Se realiza la actualización de los componentes de gestión e inversión, territorialización y actividades para realizar el correspondiente seguimiento con corte al segundo trimestre de la vigencia 2015.
• • Se elaboran los documentos de soporte a las inconsistencias presentadas durante el proceso para realizar la validación del seguimiento con corte al segundo trimestre de la vigencia 2015
*• Se realiza el seguimiento a coordinadores de programa correspondiente al segundo trimestre de la vigencia 2015.
*• Se hacen los ajustes pertinentes a las matrices de seguimiento del Plan de Desarrollo Bogotá Humana por proyectos para el seguimiento al mes de julio de 2015.
• Apoyar en la articulación de ellas con el Plan Territorial de Salud, Plan de Contratación de la Secretaría Distrital de Salud de Bogotá D.C., Proyectos de Inversión del FFDS y demás instrucciones dadas por jefe de área
</t>
    </r>
  </si>
  <si>
    <t>Diseño e implementación de instrumentos de formulación, implementación, seguimiento y control de planes programas y proyectos del sector salud del Distrito Capital.</t>
  </si>
  <si>
    <t>Número de Documentos técnicos implementados</t>
  </si>
  <si>
    <r>
      <t xml:space="preserve">
JULIO
*</t>
    </r>
    <r>
      <rPr>
        <sz val="8"/>
        <rFont val="Tahoma"/>
        <family val="2"/>
      </rPr>
      <t>Actualización, documentación, ajuste y de la matriz de Plan de análisis de información de forma mensual con base en los datos reportados en los RIPS durante este periodo, para las siguientes salidas.( desplazado, discapacidad, habitante de calle, enfermedades de transmisión sexual, transexualismo, trastornos de la personalidad, interrupción voluntaria del embarazo, diagnóstico de salud mental, diagnósticos de atención a neonatos, diagnosticas de trauma y ortopedia , traumas cabeza por accidente de tránsito, Diagnósticos de niños con vih, neumonía</t>
    </r>
  </si>
  <si>
    <t xml:space="preserve">Acreditar la Secretaria Distrital de Salud como Dirección Territorial de Salud, al 2016. </t>
  </si>
  <si>
    <t>Asistencia técnica a los grupos de Acreditación de la SDS para la  autoevaluación  de estándares de acreditación y el diseño de los planes de mejoramiento</t>
  </si>
  <si>
    <t xml:space="preserve">Número de asistencias técnicas para la acreditación en salud
</t>
  </si>
  <si>
    <t>Autoevaluación anual de Acreditación  en salud de la SDS</t>
  </si>
  <si>
    <t xml:space="preserve">Número  de Autoevaluaciones de acreditación /año </t>
  </si>
  <si>
    <t>Implementación de planes de acreditación en salud</t>
  </si>
  <si>
    <t>Planes de mejora de acreditación implementados</t>
  </si>
  <si>
    <r>
      <t>% de avance de lineamientos</t>
    </r>
    <r>
      <rPr>
        <sz val="9"/>
        <color indexed="8"/>
        <rFont val="Calibri"/>
        <family val="2"/>
      </rPr>
      <t xml:space="preserve"> </t>
    </r>
    <r>
      <rPr>
        <b/>
        <sz val="9"/>
        <color indexed="8"/>
        <rFont val="Calibri"/>
        <family val="2"/>
      </rPr>
      <t>institucionales para la sostenibilidad y mejora continua del SGC</t>
    </r>
    <r>
      <rPr>
        <sz val="9"/>
        <color indexed="8"/>
        <rFont val="Calibri"/>
        <family val="2"/>
      </rPr>
      <t xml:space="preserve">
</t>
    </r>
  </si>
  <si>
    <r>
      <rPr>
        <sz val="8"/>
        <rFont val="Tahoma"/>
        <family val="2"/>
      </rPr>
      <t>El proceso continua con la revisión y publicación de las matrices de seguimiento POA mayo-junio (y otros). Durante abril el cumplimiento fue del 100%, en mayo 90% y junio 90%,  se encuentra pendiente el reporte por parte de los procesos DUES y Jurídica.
Consolidación de la matriz de indicadores de eficacia, eficiencia y efectividad por proceso, insumo para generar una nueva salida del tablero de control.</t>
    </r>
    <r>
      <rPr>
        <b/>
        <sz val="8"/>
        <rFont val="Tahoma"/>
        <family val="2"/>
      </rPr>
      <t xml:space="preserve">
</t>
    </r>
    <r>
      <rPr>
        <sz val="8"/>
        <rFont val="Tahoma"/>
        <family val="2"/>
      </rPr>
      <t xml:space="preserve">Diseño tablero de evaluación del SIG,  consolidación evaluación Indicadores transversales del SIG del 2° Trimestre 2015. Tablero de evaluación del SIG 2° trimestre 2015 ajustado y evaluado. Definición de actividades a evaluar para el 3er trimestre Tablero SIG. 
Definición, en dos (2) mesas de trabajo con la Dirección de Planeación Sectorial,  de la metodología del tablero de control y revisión de funciones en común, metodología de reporte del POA y balanceo de procesos. Documento de Alineación de la plataforma estratégica vs. procesos vs. Política y objetivos SIG. Revisión de funciones en común, tablero de control y recursos financieros a trasladar. </t>
    </r>
  </si>
  <si>
    <r>
      <t xml:space="preserve">%  de cumplimiento de las actividades realizadas por las direcciones </t>
    </r>
    <r>
      <rPr>
        <sz val="9"/>
        <color indexed="8"/>
        <rFont val="Calibri"/>
        <family val="2"/>
      </rPr>
      <t xml:space="preserve">
</t>
    </r>
  </si>
  <si>
    <r>
      <rPr>
        <b/>
        <sz val="8"/>
        <rFont val="Tahoma"/>
        <family val="2"/>
      </rPr>
      <t>JULIO</t>
    </r>
    <r>
      <rPr>
        <sz val="8"/>
        <rFont val="Tahoma"/>
        <family val="2"/>
      </rPr>
      <t xml:space="preserve">
Soporte y gestión de casos de ISOLUCION (29 casos reportados).  Segunda revisión de los ajustes adicionales al módulo de mejoramiento en el aplicativo ISOLUCION. Inactivación de la codificación 114 por SDS.  Reporte de 62 documentos con inconsistencias en la codificación los cuales no fueron migrados. Validación de documentos con código 114 no reportados en la matriz de migración, se relacionan 187 documentos pendientes.
Proceso de migración de la gestión documental (100%), actualización documental migrada (70%).
Capacitación sobre la migración documental y elementos básicos de la plataforma ISOLUCION, realizada en la sala vive digital con los gestores y referentes nuevos.</t>
    </r>
  </si>
  <si>
    <t xml:space="preserve">Número de asesorías y asistencias técnicas en SGC </t>
  </si>
  <si>
    <r>
      <rPr>
        <b/>
        <sz val="8"/>
        <rFont val="Tahoma"/>
        <family val="2"/>
      </rPr>
      <t>JULIO</t>
    </r>
    <r>
      <rPr>
        <sz val="8"/>
        <rFont val="Tahoma"/>
        <family val="2"/>
      </rPr>
      <t xml:space="preserve">
Durante el mes de julio se realizaron 114 asesorías en temas de: Ajustes en el tablero de control, gestión documental, codificación de encabezados de formatos, asesoría acciones correctivas, pago de cuentas hospitales
generalidades auditoria interna, formato plan de auditoria, explicación de las etapas de auditorias y revisión de procedimientos, entre otros.</t>
    </r>
  </si>
  <si>
    <r>
      <rPr>
        <b/>
        <sz val="8"/>
        <rFont val="Tahoma"/>
        <family val="2"/>
      </rPr>
      <t xml:space="preserve">JULIO:
</t>
    </r>
    <r>
      <rPr>
        <sz val="8"/>
        <rFont val="Tahoma"/>
        <family val="2"/>
      </rPr>
      <t xml:space="preserve">Se llevan a cabo reuniones entre el Archivo Central y los gestores y referentes de archivo de cada proceso para orientar a todos los procesos en la actualización de las caracterizaciones de activos de información.
Participación y monitoreo de la participación del resto de los procesos en la capacitación de seguridad de la información.
Actualización de los registros e hipervínculos de los planes, programas y proyectos de la SDS contenidos en el  módulo MECI, en el aplicativo ISOLUCION para el elemento Direccionamiento Estratégico.
Capacitación al personal de servicios generales en el marco de la visita que realizará a la entidad la Secretaría Distrital de Ambiente, esta incluyó temas de Segregación de Residuos, elementos de seguridad industrial e higiene en el trabajo y etiquetado y manipulación de residuos, con el fin de generar conciencia y articulación con los demás subsistemas.
Seguimiento a temas primordiales como la afiliación al SGRL  y la Intervención de Peligros identificados.
</t>
    </r>
  </si>
  <si>
    <r>
      <rPr>
        <b/>
        <sz val="8"/>
        <rFont val="Tahoma"/>
        <family val="2"/>
      </rPr>
      <t>JULIO</t>
    </r>
    <r>
      <rPr>
        <sz val="8"/>
        <rFont val="Tahoma"/>
        <family val="2"/>
      </rPr>
      <t xml:space="preserve">
Se reportan las mismas actividades desarrolladas para la meta del sistema de gestión de calidad, en tanto estas también aportan a la implementación del sistema integrado de gestión.</t>
    </r>
  </si>
  <si>
    <r>
      <t xml:space="preserve">Porcentaje de cumplimiento de las actividades desarrolladas </t>
    </r>
    <r>
      <rPr>
        <sz val="9"/>
        <color indexed="8"/>
        <rFont val="Calibri"/>
        <family val="2"/>
      </rPr>
      <t xml:space="preserve">
</t>
    </r>
  </si>
  <si>
    <r>
      <rPr>
        <b/>
        <sz val="8"/>
        <rFont val="Tahoma"/>
        <family val="2"/>
      </rPr>
      <t>JULIO</t>
    </r>
    <r>
      <rPr>
        <sz val="8"/>
        <rFont val="Tahoma"/>
        <family val="2"/>
      </rPr>
      <t xml:space="preserve">
Se llevan a cabo diferentes campañas y actividades que fueron incluidas en el Plan Institucional de Gestión Ambiental (PIGA) y aprobadas por el Comité de Gestión Ambiental. Estas son:  Se llevan a cabo diferentes campañas y actividades que fueron incluidas en el Plan Institucional de Gestión Ambiental (PIGA) y aprobadas por el Comité de Gestión Ambiental. Estas son: Capacitación para el personal de servicios generales en el marco de la visita que realizará a la entidad la Secretaría Distrital de Ambiente, esta incluyó temas de Segregación de Residuos, elementos de seguridad industrial e higiene en el trabajo y etiquetado y manipulación de residuos.  De igual manera, se continua con el acompañamiento y participación en las reuniones del Comité ambiental y del comité del PIGHRS. Por otro lado,  se sostuvo reunión con representantes del Observatorio Ambiental, el motivo solicitud desde el Comité de Gestión ambiental para apoyo metodológico en el levantamiento de procedimientos.</t>
    </r>
  </si>
  <si>
    <r>
      <rPr>
        <b/>
        <sz val="8"/>
        <rFont val="Tahoma"/>
        <family val="2"/>
      </rPr>
      <t>JULIO</t>
    </r>
    <r>
      <rPr>
        <sz val="8"/>
        <rFont val="Tahoma"/>
        <family val="2"/>
      </rPr>
      <t xml:space="preserve">
Aplicación test de conocimiento temas Calidad en la Dirección Planeación Institucional y Calidad. Documentación propuesta de actualización de la gestión documental del proceso Planeación institucional y calidad. Documento denominado Lineamientos documentales para la actualización de adjuntos y procedimientos.
*Apoyo a la DGTH en la actualización del módulo 2 (estrategia E.learning) del proceso de inducción sobre SIG y actualización guion. 
*Se realiza capacitación presencial a funcionarios del despacho (22 de Julio) y se ejecuta medición de conocimientos sobre mapa de procesos. 
*Normograma institucional (80%). Revisión del procedimiento "Cumplimiento de lo legal", pendiente aprobación por Jurídica y flujo de aprobación.
*Seguimiento a los avances de las acciones correctivas 1027 - auditoria Icontec.  Ajustes a la matriz de identificación de clientes,  producto desarrollado en un 80%, pendiente entrega de ajustes por parte de la Dirección de Calidad de Servicios y la Subsecretaria de Salud Publica - acción correctiva No. 1032.  Inclusión de acciones correctivas aplicativo Isolución  producto de revisión por la dirección Números 1020,1021,1022,1024,1025,1026,1027,1028,1029,1030,1031,1032,1033 y acciones preventivas 115,116,117,118,119,120,121.
*Entrega final de compromisos Trazabilidad cuentas Hospitales, pendiente: instructivos por parte de las Áreas involucradas.  Presentación en Comité de Gerentes, dejando explicito que la etapa siguiente corresponde a la interacción con hospitales.</t>
    </r>
  </si>
  <si>
    <r>
      <rPr>
        <b/>
        <sz val="8"/>
        <rFont val="Tahoma"/>
        <family val="2"/>
      </rPr>
      <t>JULIO</t>
    </r>
    <r>
      <rPr>
        <sz val="8"/>
        <rFont val="Tahoma"/>
        <family val="2"/>
      </rPr>
      <t xml:space="preserve">
Conjuntamente con la Oficina de Control Interno, se continua brindando asesoría metodológica en el desarrollo de las auditorías internas de calidad 2015, revisando los planes de auditoría y listas de chequeo presentadas por los auditores.  Se presenta al grupo de auditores internos de calidad  las generalidades del proceso de auditoría 2015 que incluye aspectos generales e instrumentos de auditoría. Se genera siguiente versión del Plan de auditoría, se revisan demás instrumentos y se envían a todos los auditores. Se crea matriz de relación de requisitos de la NTCGP 1000:2009. Se revisan y retroalimentan por correo las listas de chequeo de los procesos ESC, BYS, JUR, COM, GSP, IVC, GTH, GCI, GSS, GTIC.
Preparación y desarrollo de las auditorías de Calidad de los procesos Gestión de Comunicaciones, Gestión Financiera, IVC y Gestión Jurídica.</t>
    </r>
  </si>
  <si>
    <r>
      <rPr>
        <b/>
        <sz val="8"/>
        <rFont val="Tahoma"/>
        <family val="2"/>
      </rPr>
      <t>JULIO</t>
    </r>
    <r>
      <rPr>
        <sz val="8"/>
        <rFont val="Tahoma"/>
        <family val="2"/>
      </rPr>
      <t xml:space="preserve">
El sistema de gestión de calidad ya se encuentra certificado en las normas ISO 9001:2008 y NTCGP 1000:2009. Durante este mes se continua con la gestión contractual del contrato con Icontec permitiendo la suscripción y publicación del mismo, que tiene como objeto "Prestar servicios para el mantenimiento de la certificación de calidad bajo la norma NTCGP 1000:2009 e ISO 9001:2008 y el diagnóstico de los subsistemas de seguridad de la información y seguridad y salud en el trabajo".</t>
    </r>
  </si>
  <si>
    <t>Total general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</si>
</sst>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3" formatCode="0.000000000000"/>
    <numFmt numFmtId="204" formatCode="#,##0.00000000000000000000000000000000000000"/>
    <numFmt numFmtId="208" formatCode="#,##0.000000000000000"/>
    <numFmt numFmtId="209" formatCode="0.00000000"/>
    <numFmt numFmtId="210" formatCode="_-* #,##0.00000000000\ _€_-;\-* #,##0.00000000000\ _€_-;_-* &quot;-&quot;???????????\ _€_-;_-@_-"/>
    <numFmt numFmtId="228" formatCode="_(&quot;$&quot;\ * #,##0_);_(&quot;$&quot;\ * \(#,##0\);_(&quot;$&quot;\ * &quot;-&quot;??_);_(@_)"/>
  </numFmts>
  <fonts count="10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2"/>
      <name val="Tahoma"/>
      <family val="2"/>
    </font>
    <font>
      <b/>
      <sz val="12"/>
      <color indexed="10"/>
      <name val="Tahoma"/>
      <family val="2"/>
    </font>
    <font>
      <sz val="8"/>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sz val="9"/>
      <name val="Calibri"/>
      <family val="2"/>
    </font>
    <font>
      <sz val="9"/>
      <color indexed="8"/>
      <name val="Calibri"/>
      <family val="2"/>
    </font>
    <font>
      <sz val="9"/>
      <color indexed="8"/>
      <name val="Tahoma"/>
      <family val="2"/>
    </font>
    <font>
      <b/>
      <sz val="9"/>
      <color indexed="8"/>
      <name val="Arial Narrow"/>
      <family val="2"/>
    </font>
    <font>
      <sz val="9"/>
      <color indexed="8"/>
      <name val="Arial Narrow"/>
      <family val="2"/>
    </font>
    <font>
      <sz val="9"/>
      <name val="Arial Narrow"/>
      <family val="2"/>
    </font>
    <font>
      <b/>
      <sz val="12"/>
      <color indexed="10"/>
      <name val="Calibri"/>
      <family val="2"/>
    </font>
    <font>
      <b/>
      <sz val="11"/>
      <name val="Calibri"/>
      <family val="2"/>
    </font>
    <font>
      <sz val="9"/>
      <name val="Verdana"/>
      <family val="2"/>
    </font>
    <font>
      <b/>
      <sz val="9"/>
      <name val="Arial Narrow"/>
      <family val="2"/>
    </font>
    <font>
      <sz val="12"/>
      <name val="Calibri"/>
      <family val="2"/>
    </font>
    <font>
      <b/>
      <sz val="8"/>
      <name val="Tahoma"/>
      <family val="2"/>
    </font>
    <font>
      <sz val="8"/>
      <color indexed="8"/>
      <name val="Arial"/>
      <family val="2"/>
    </font>
    <font>
      <b/>
      <sz val="9"/>
      <color indexed="8"/>
      <name val="Calibri"/>
      <family val="2"/>
    </font>
    <font>
      <sz val="9"/>
      <color indexed="10"/>
      <name val="Calibri"/>
      <family val="2"/>
    </font>
    <font>
      <sz val="8"/>
      <color indexed="8"/>
      <name val="Tahoma"/>
      <family val="2"/>
    </font>
    <font>
      <sz val="8"/>
      <color indexed="10"/>
      <name val="Tahoma"/>
      <family val="2"/>
    </font>
    <font>
      <sz val="9"/>
      <color indexed="21"/>
      <name val="Calibri"/>
      <family val="2"/>
    </font>
    <font>
      <b/>
      <sz val="9"/>
      <color indexed="21"/>
      <name val="Calibri"/>
      <family val="2"/>
    </font>
    <font>
      <b/>
      <sz val="9"/>
      <color indexed="10"/>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26"/>
      <color rgb="FFFF0000"/>
      <name val="Calibri"/>
      <family val="2"/>
    </font>
    <font>
      <sz val="8"/>
      <color rgb="FFFF0000"/>
      <name val="Tahoma"/>
      <family val="2"/>
    </font>
    <font>
      <sz val="9"/>
      <color rgb="FF00B050"/>
      <name val="Calibri"/>
      <family val="2"/>
    </font>
    <font>
      <b/>
      <sz val="9"/>
      <color rgb="FF00B050"/>
      <name val="Calibri"/>
      <family val="2"/>
    </font>
    <font>
      <sz val="9"/>
      <color rgb="FFFF000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right style="thin"/>
      <top style="thin"/>
      <bottom style="medium"/>
    </border>
    <border>
      <left>
        <color indexed="63"/>
      </left>
      <right style="thin">
        <color indexed="9"/>
      </right>
      <top style="thin">
        <color indexed="9"/>
      </top>
      <bottom style="thin">
        <color indexed="9"/>
      </bottom>
    </border>
    <border>
      <left style="thin"/>
      <right>
        <color indexed="63"/>
      </right>
      <top style="thin">
        <color indexed="9"/>
      </top>
      <bottom style="thin"/>
    </border>
    <border>
      <left>
        <color indexed="63"/>
      </left>
      <right style="thin">
        <color indexed="9"/>
      </right>
      <top style="thin">
        <color indexed="9"/>
      </top>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3"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420">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92" fillId="0" borderId="0" xfId="0" applyFont="1" applyFill="1" applyAlignment="1" applyProtection="1">
      <alignment vertical="center"/>
      <protection/>
    </xf>
    <xf numFmtId="0" fontId="92" fillId="0" borderId="0" xfId="0" applyFont="1" applyAlignment="1" applyProtection="1">
      <alignment vertical="center"/>
      <protection/>
    </xf>
    <xf numFmtId="0" fontId="26" fillId="34" borderId="0" xfId="0" applyFont="1" applyFill="1" applyAlignment="1" applyProtection="1">
      <alignment vertical="center"/>
      <protection/>
    </xf>
    <xf numFmtId="0" fontId="92" fillId="34" borderId="0" xfId="0" applyFont="1" applyFill="1" applyAlignment="1" applyProtection="1">
      <alignment horizontal="center" vertical="center"/>
      <protection/>
    </xf>
    <xf numFmtId="0" fontId="92" fillId="34" borderId="0" xfId="0" applyFont="1" applyFill="1" applyAlignment="1" applyProtection="1">
      <alignment vertical="center"/>
      <protection/>
    </xf>
    <xf numFmtId="0" fontId="92" fillId="34" borderId="0" xfId="0" applyFont="1" applyFill="1" applyAlignment="1" applyProtection="1">
      <alignment horizontal="left" vertical="center"/>
      <protection/>
    </xf>
    <xf numFmtId="0" fontId="92" fillId="0" borderId="0" xfId="0" applyFont="1" applyFill="1" applyAlignment="1" applyProtection="1">
      <alignment horizontal="left" vertical="center"/>
      <protection/>
    </xf>
    <xf numFmtId="0" fontId="92"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93"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93"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93" fillId="36" borderId="10" xfId="0" applyFont="1" applyFill="1" applyBorder="1" applyAlignment="1" applyProtection="1">
      <alignment horizontal="center" vertical="center" wrapText="1"/>
      <protection/>
    </xf>
    <xf numFmtId="0" fontId="93"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92"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94"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95" fillId="36" borderId="10" xfId="0" applyNumberFormat="1" applyFont="1" applyFill="1" applyBorder="1" applyAlignment="1" applyProtection="1">
      <alignment horizontal="center" vertical="center"/>
      <protection/>
    </xf>
    <xf numFmtId="0" fontId="95"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96"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9" fillId="0" borderId="16" xfId="0" applyNumberFormat="1" applyFont="1" applyFill="1" applyBorder="1" applyAlignment="1" applyProtection="1">
      <alignment horizontal="center" vertical="center"/>
      <protection/>
    </xf>
    <xf numFmtId="0" fontId="92" fillId="0" borderId="0" xfId="0" applyFont="1" applyAlignment="1" applyProtection="1">
      <alignment horizontal="center" vertical="center"/>
      <protection/>
    </xf>
    <xf numFmtId="0" fontId="34" fillId="35" borderId="15" xfId="0" applyFont="1" applyFill="1" applyBorder="1" applyAlignment="1" applyProtection="1">
      <alignment horizontal="justify" vertical="center" wrapText="1"/>
      <protection/>
    </xf>
    <xf numFmtId="0" fontId="34" fillId="35" borderId="15" xfId="0" applyFont="1" applyFill="1" applyBorder="1" applyAlignment="1" applyProtection="1">
      <alignment horizontal="center" vertical="center"/>
      <protection/>
    </xf>
    <xf numFmtId="0" fontId="34" fillId="35" borderId="15" xfId="0" applyFont="1" applyFill="1" applyBorder="1" applyAlignment="1" applyProtection="1">
      <alignment horizontal="center" vertical="center" wrapText="1"/>
      <protection/>
    </xf>
    <xf numFmtId="9" fontId="34" fillId="35" borderId="15" xfId="0" applyNumberFormat="1" applyFont="1" applyFill="1" applyBorder="1" applyAlignment="1" applyProtection="1">
      <alignment horizontal="center" vertical="center" wrapText="1"/>
      <protection/>
    </xf>
    <xf numFmtId="0" fontId="95" fillId="35" borderId="15" xfId="0" applyFont="1" applyFill="1" applyBorder="1" applyAlignment="1" applyProtection="1">
      <alignment horizontal="justify" vertical="center" wrapText="1"/>
      <protection/>
    </xf>
    <xf numFmtId="0" fontId="95" fillId="35" borderId="15" xfId="0" applyFont="1" applyFill="1" applyBorder="1" applyAlignment="1" applyProtection="1">
      <alignment horizontal="center" vertical="center" wrapText="1"/>
      <protection/>
    </xf>
    <xf numFmtId="0" fontId="95" fillId="35" borderId="15" xfId="0" applyFont="1" applyFill="1" applyBorder="1" applyAlignment="1" applyProtection="1">
      <alignment horizontal="center" vertical="center"/>
      <protection/>
    </xf>
    <xf numFmtId="0" fontId="29" fillId="0" borderId="17" xfId="0" applyNumberFormat="1" applyFont="1" applyBorder="1" applyAlignment="1" applyProtection="1">
      <alignment horizontal="center" vertical="center"/>
      <protection/>
    </xf>
    <xf numFmtId="200" fontId="34" fillId="35" borderId="10" xfId="48" applyNumberFormat="1" applyFont="1" applyFill="1" applyBorder="1" applyAlignment="1" applyProtection="1" quotePrefix="1">
      <alignment horizontal="center" vertical="center" wrapText="1"/>
      <protection/>
    </xf>
    <xf numFmtId="195" fontId="95" fillId="35" borderId="15" xfId="0" applyNumberFormat="1" applyFont="1" applyFill="1" applyBorder="1" applyAlignment="1" applyProtection="1">
      <alignment horizontal="center" vertical="center" wrapText="1"/>
      <protection/>
    </xf>
    <xf numFmtId="200" fontId="95" fillId="35" borderId="15" xfId="48" applyNumberFormat="1" applyFont="1" applyFill="1" applyBorder="1" applyAlignment="1" applyProtection="1" quotePrefix="1">
      <alignment horizontal="center" vertical="center" wrapText="1"/>
      <protection/>
    </xf>
    <xf numFmtId="0" fontId="24" fillId="35" borderId="15" xfId="0" applyFont="1" applyFill="1" applyBorder="1" applyAlignment="1" applyProtection="1">
      <alignment horizontal="justify" vertical="center"/>
      <protection/>
    </xf>
    <xf numFmtId="0" fontId="95" fillId="35" borderId="15" xfId="0"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protection/>
    </xf>
    <xf numFmtId="200" fontId="95" fillId="35" borderId="10" xfId="48" applyNumberFormat="1" applyFont="1" applyFill="1" applyBorder="1" applyAlignment="1" applyProtection="1" quotePrefix="1">
      <alignment horizontal="center" vertical="center" wrapText="1"/>
      <protection/>
    </xf>
    <xf numFmtId="0" fontId="94" fillId="35" borderId="15" xfId="0" applyFont="1" applyFill="1" applyBorder="1" applyAlignment="1" applyProtection="1">
      <alignment horizontal="justify" vertical="center" wrapText="1"/>
      <protection/>
    </xf>
    <xf numFmtId="1" fontId="34" fillId="35" borderId="15" xfId="0" applyNumberFormat="1" applyFont="1" applyFill="1" applyBorder="1" applyAlignment="1" applyProtection="1">
      <alignment horizontal="center" vertical="center" wrapText="1"/>
      <protection/>
    </xf>
    <xf numFmtId="0" fontId="34" fillId="35" borderId="10" xfId="0" applyFont="1" applyFill="1" applyBorder="1" applyAlignment="1" applyProtection="1">
      <alignment horizontal="justify" vertical="center" wrapText="1"/>
      <protection/>
    </xf>
    <xf numFmtId="0" fontId="34" fillId="35" borderId="10" xfId="0" applyFont="1" applyFill="1" applyBorder="1" applyAlignment="1" applyProtection="1">
      <alignment horizontal="center" vertical="center"/>
      <protection/>
    </xf>
    <xf numFmtId="0" fontId="34" fillId="35" borderId="15" xfId="0" applyFont="1" applyFill="1" applyBorder="1" applyAlignment="1" applyProtection="1" quotePrefix="1">
      <alignment horizontal="center" vertical="center"/>
      <protection/>
    </xf>
    <xf numFmtId="0" fontId="34" fillId="35" borderId="10" xfId="0" applyFont="1" applyFill="1" applyBorder="1" applyAlignment="1" applyProtection="1" quotePrefix="1">
      <alignment horizontal="center" vertical="center"/>
      <protection/>
    </xf>
    <xf numFmtId="2" fontId="34" fillId="35" borderId="15" xfId="55" applyNumberFormat="1" applyFont="1" applyFill="1" applyBorder="1" applyAlignment="1" applyProtection="1">
      <alignment horizontal="center" vertical="center" wrapText="1"/>
      <protection/>
    </xf>
    <xf numFmtId="2" fontId="34" fillId="35" borderId="10" xfId="55" applyNumberFormat="1" applyFont="1" applyFill="1" applyBorder="1" applyAlignment="1" applyProtection="1">
      <alignment horizontal="center" vertical="center" wrapText="1"/>
      <protection/>
    </xf>
    <xf numFmtId="0" fontId="95" fillId="35" borderId="15" xfId="0" applyFont="1" applyFill="1" applyBorder="1" applyAlignment="1" applyProtection="1" quotePrefix="1">
      <alignment horizontal="center" vertical="center"/>
      <protection/>
    </xf>
    <xf numFmtId="0" fontId="95" fillId="35" borderId="10" xfId="0" applyFont="1" applyFill="1" applyBorder="1" applyAlignment="1" applyProtection="1" quotePrefix="1">
      <alignment horizontal="center" vertical="center"/>
      <protection/>
    </xf>
    <xf numFmtId="0" fontId="95" fillId="35" borderId="10" xfId="0" applyFont="1" applyFill="1" applyBorder="1" applyAlignment="1" applyProtection="1">
      <alignment horizontal="justify" vertical="center" wrapText="1"/>
      <protection/>
    </xf>
    <xf numFmtId="0" fontId="95" fillId="35" borderId="10" xfId="0" applyFont="1" applyFill="1" applyBorder="1" applyAlignment="1" applyProtection="1">
      <alignment horizontal="center" vertical="center"/>
      <protection/>
    </xf>
    <xf numFmtId="0" fontId="95" fillId="35" borderId="18" xfId="0" applyFont="1" applyFill="1" applyBorder="1" applyAlignment="1" applyProtection="1" quotePrefix="1">
      <alignment horizontal="center" vertical="center"/>
      <protection/>
    </xf>
    <xf numFmtId="0" fontId="34" fillId="35" borderId="18" xfId="0" applyFont="1" applyFill="1" applyBorder="1" applyAlignment="1" applyProtection="1">
      <alignment horizontal="justify" vertical="center" wrapText="1"/>
      <protection/>
    </xf>
    <xf numFmtId="0" fontId="95" fillId="35" borderId="10" xfId="0" applyFont="1" applyFill="1" applyBorder="1" applyAlignment="1" applyProtection="1">
      <alignment horizontal="justify" vertical="center"/>
      <protection/>
    </xf>
    <xf numFmtId="0" fontId="95" fillId="35" borderId="18" xfId="0" applyFont="1" applyFill="1" applyBorder="1" applyAlignment="1" applyProtection="1">
      <alignment horizontal="center" vertical="center"/>
      <protection/>
    </xf>
    <xf numFmtId="2" fontId="95" fillId="35" borderId="15" xfId="55" applyNumberFormat="1" applyFont="1" applyFill="1" applyBorder="1" applyAlignment="1" applyProtection="1">
      <alignment horizontal="center" vertical="center" wrapText="1"/>
      <protection/>
    </xf>
    <xf numFmtId="9" fontId="95" fillId="35" borderId="10" xfId="0" applyNumberFormat="1" applyFont="1" applyFill="1" applyBorder="1" applyAlignment="1" applyProtection="1">
      <alignment horizontal="center" vertical="center"/>
      <protection/>
    </xf>
    <xf numFmtId="9" fontId="95" fillId="35" borderId="18" xfId="0" applyNumberFormat="1" applyFont="1" applyFill="1" applyBorder="1" applyAlignment="1" applyProtection="1">
      <alignment horizontal="center" vertical="center"/>
      <protection/>
    </xf>
    <xf numFmtId="9" fontId="95" fillId="35" borderId="15" xfId="0" applyNumberFormat="1"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wrapText="1"/>
      <protection/>
    </xf>
    <xf numFmtId="9" fontId="18" fillId="35" borderId="10" xfId="58"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36" borderId="10" xfId="58"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top"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10" fontId="30" fillId="35" borderId="10" xfId="0" applyNumberFormat="1" applyFont="1" applyFill="1" applyBorder="1" applyAlignment="1" applyProtection="1">
      <alignment horizontal="left" vertical="center" wrapText="1"/>
      <protection/>
    </xf>
    <xf numFmtId="0" fontId="29" fillId="35" borderId="10" xfId="0" applyFont="1" applyFill="1" applyBorder="1" applyAlignment="1" applyProtection="1">
      <alignment horizontal="left" vertical="center" wrapText="1"/>
      <protection/>
    </xf>
    <xf numFmtId="0" fontId="31" fillId="35" borderId="10" xfId="0" applyFont="1" applyFill="1" applyBorder="1" applyAlignment="1" applyProtection="1">
      <alignment horizontal="left" vertical="center" wrapText="1"/>
      <protection/>
    </xf>
    <xf numFmtId="2" fontId="30" fillId="35" borderId="10" xfId="0" applyNumberFormat="1" applyFont="1" applyFill="1" applyBorder="1" applyAlignment="1" applyProtection="1">
      <alignment horizontal="left" vertical="center" wrapText="1"/>
      <protection/>
    </xf>
    <xf numFmtId="0" fontId="29" fillId="35" borderId="10" xfId="0" applyFont="1" applyFill="1" applyBorder="1" applyAlignment="1" applyProtection="1">
      <alignment horizontal="justify" vertical="top" wrapText="1"/>
      <protection/>
    </xf>
    <xf numFmtId="0" fontId="13" fillId="33" borderId="20" xfId="0" applyFont="1" applyFill="1" applyBorder="1" applyAlignment="1" applyProtection="1">
      <alignment horizontal="center" vertical="center" wrapText="1"/>
      <protection/>
    </xf>
    <xf numFmtId="0" fontId="13" fillId="33" borderId="21" xfId="0" applyFont="1" applyFill="1" applyBorder="1" applyAlignment="1" applyProtection="1">
      <alignment horizontal="center" vertical="center" wrapText="1"/>
      <protection/>
    </xf>
    <xf numFmtId="169" fontId="25" fillId="35" borderId="11" xfId="48" applyNumberFormat="1" applyFont="1" applyFill="1" applyBorder="1" applyAlignment="1" applyProtection="1">
      <alignment horizontal="left" vertical="center" wrapText="1"/>
      <protection/>
    </xf>
    <xf numFmtId="169" fontId="25" fillId="35" borderId="22" xfId="48" applyNumberFormat="1" applyFont="1" applyFill="1" applyBorder="1" applyAlignment="1" applyProtection="1">
      <alignment horizontal="left" vertical="center" wrapText="1"/>
      <protection/>
    </xf>
    <xf numFmtId="0" fontId="4" fillId="33" borderId="2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6" xfId="0" applyFont="1" applyFill="1" applyBorder="1" applyAlignment="1" applyProtection="1">
      <alignment horizontal="center" vertical="center" wrapText="1"/>
      <protection/>
    </xf>
    <xf numFmtId="0" fontId="97" fillId="0" borderId="0" xfId="0" applyFont="1" applyAlignment="1" applyProtection="1">
      <alignment horizontal="left"/>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51" fillId="0" borderId="36" xfId="0" applyFont="1" applyBorder="1" applyAlignment="1">
      <alignment horizontal="center"/>
    </xf>
    <xf numFmtId="0" fontId="51" fillId="0" borderId="37" xfId="0" applyFont="1" applyBorder="1" applyAlignment="1">
      <alignment horizontal="center"/>
    </xf>
    <xf numFmtId="0" fontId="51" fillId="0" borderId="38" xfId="0" applyFont="1" applyBorder="1" applyAlignment="1">
      <alignment horizontal="center"/>
    </xf>
    <xf numFmtId="0" fontId="52" fillId="0" borderId="39" xfId="0" applyFont="1" applyBorder="1" applyAlignment="1">
      <alignment horizontal="center" wrapText="1"/>
    </xf>
    <xf numFmtId="0" fontId="52" fillId="0" borderId="40" xfId="0" applyFont="1" applyBorder="1" applyAlignment="1">
      <alignment horizontal="center" wrapText="1"/>
    </xf>
    <xf numFmtId="0" fontId="52" fillId="0" borderId="41" xfId="0" applyFont="1" applyBorder="1" applyAlignment="1">
      <alignment horizontal="center" wrapText="1"/>
    </xf>
    <xf numFmtId="0" fontId="52" fillId="0" borderId="39" xfId="0" applyFont="1" applyBorder="1" applyAlignment="1">
      <alignment horizontal="left" wrapText="1"/>
    </xf>
    <xf numFmtId="0" fontId="52" fillId="0" borderId="40" xfId="0" applyFont="1" applyBorder="1" applyAlignment="1">
      <alignment horizontal="left" wrapText="1"/>
    </xf>
    <xf numFmtId="0" fontId="52" fillId="0" borderId="41" xfId="0" applyFont="1" applyBorder="1" applyAlignment="1">
      <alignment horizontal="left" wrapText="1"/>
    </xf>
    <xf numFmtId="0" fontId="51" fillId="0" borderId="39" xfId="0" applyFont="1" applyBorder="1" applyAlignment="1">
      <alignment horizontal="center"/>
    </xf>
    <xf numFmtId="0" fontId="51" fillId="0" borderId="40" xfId="0" applyFont="1" applyBorder="1" applyAlignment="1">
      <alignment horizontal="center"/>
    </xf>
    <xf numFmtId="0" fontId="51" fillId="0" borderId="41" xfId="0" applyFont="1" applyBorder="1" applyAlignment="1">
      <alignment/>
    </xf>
    <xf numFmtId="0" fontId="51" fillId="0" borderId="41" xfId="0" applyFont="1" applyBorder="1" applyAlignment="1">
      <alignment horizontal="center"/>
    </xf>
    <xf numFmtId="0" fontId="51" fillId="0" borderId="39" xfId="0" applyFont="1" applyBorder="1" applyAlignment="1">
      <alignment horizontal="center" wrapText="1"/>
    </xf>
    <xf numFmtId="0" fontId="51" fillId="0" borderId="40" xfId="0" applyFont="1" applyBorder="1" applyAlignment="1">
      <alignment horizontal="center" wrapText="1"/>
    </xf>
    <xf numFmtId="0" fontId="51" fillId="0" borderId="41" xfId="0" applyFont="1" applyBorder="1" applyAlignment="1">
      <alignment horizontal="center" wrapText="1"/>
    </xf>
    <xf numFmtId="0" fontId="51" fillId="0" borderId="0" xfId="0" applyFont="1" applyAlignment="1">
      <alignment/>
    </xf>
    <xf numFmtId="0" fontId="51" fillId="0" borderId="16" xfId="0" applyFont="1" applyBorder="1" applyAlignment="1">
      <alignment horizontal="center"/>
    </xf>
    <xf numFmtId="0" fontId="51" fillId="0" borderId="10" xfId="0" applyFont="1" applyBorder="1" applyAlignment="1">
      <alignment horizontal="center"/>
    </xf>
    <xf numFmtId="0" fontId="51" fillId="0" borderId="42" xfId="0" applyFont="1" applyBorder="1" applyAlignment="1">
      <alignment horizontal="center"/>
    </xf>
    <xf numFmtId="0" fontId="52" fillId="0" borderId="43" xfId="0" applyFont="1" applyBorder="1" applyAlignment="1">
      <alignment horizontal="center" wrapText="1"/>
    </xf>
    <xf numFmtId="0" fontId="52" fillId="0" borderId="0" xfId="0" applyFont="1" applyBorder="1" applyAlignment="1">
      <alignment horizontal="center" wrapText="1"/>
    </xf>
    <xf numFmtId="0" fontId="52" fillId="0" borderId="44" xfId="0" applyFont="1" applyBorder="1" applyAlignment="1">
      <alignment horizontal="center" wrapText="1"/>
    </xf>
    <xf numFmtId="0" fontId="52" fillId="0" borderId="43" xfId="0" applyFont="1" applyBorder="1" applyAlignment="1">
      <alignment horizontal="left" wrapText="1"/>
    </xf>
    <xf numFmtId="0" fontId="52" fillId="0" borderId="0" xfId="0" applyFont="1" applyBorder="1" applyAlignment="1">
      <alignment horizontal="left" wrapText="1"/>
    </xf>
    <xf numFmtId="0" fontId="52" fillId="0" borderId="44" xfId="0" applyFont="1" applyBorder="1" applyAlignment="1">
      <alignment horizontal="left" wrapText="1"/>
    </xf>
    <xf numFmtId="0" fontId="51" fillId="0" borderId="43" xfId="0" applyFont="1" applyBorder="1" applyAlignment="1">
      <alignment horizontal="center"/>
    </xf>
    <xf numFmtId="0" fontId="51" fillId="0" borderId="0" xfId="0" applyFont="1" applyBorder="1" applyAlignment="1">
      <alignment horizontal="center"/>
    </xf>
    <xf numFmtId="0" fontId="51" fillId="0" borderId="44" xfId="0" applyFont="1" applyBorder="1" applyAlignment="1">
      <alignment/>
    </xf>
    <xf numFmtId="0" fontId="51" fillId="0" borderId="44" xfId="0" applyFont="1" applyBorder="1" applyAlignment="1">
      <alignment horizontal="center"/>
    </xf>
    <xf numFmtId="0" fontId="51" fillId="0" borderId="43" xfId="0" applyFont="1" applyBorder="1" applyAlignment="1">
      <alignment horizontal="center" wrapText="1"/>
    </xf>
    <xf numFmtId="0" fontId="51" fillId="0" borderId="0" xfId="0" applyFont="1" applyBorder="1" applyAlignment="1">
      <alignment horizontal="center" wrapText="1"/>
    </xf>
    <xf numFmtId="0" fontId="51" fillId="0" borderId="44" xfId="0" applyFont="1" applyBorder="1" applyAlignment="1">
      <alignment horizontal="center" wrapText="1"/>
    </xf>
    <xf numFmtId="0" fontId="51" fillId="0" borderId="45" xfId="0" applyFont="1" applyBorder="1" applyAlignment="1">
      <alignment horizontal="center"/>
    </xf>
    <xf numFmtId="0" fontId="51" fillId="0" borderId="18" xfId="0" applyFont="1" applyBorder="1" applyAlignment="1">
      <alignment horizontal="center"/>
    </xf>
    <xf numFmtId="0" fontId="51" fillId="0" borderId="46" xfId="0" applyFont="1" applyBorder="1" applyAlignment="1">
      <alignment horizontal="center"/>
    </xf>
    <xf numFmtId="0" fontId="52" fillId="0" borderId="47" xfId="0" applyFont="1" applyBorder="1" applyAlignment="1">
      <alignment horizontal="center" wrapText="1"/>
    </xf>
    <xf numFmtId="0" fontId="52" fillId="0" borderId="48" xfId="0" applyFont="1" applyBorder="1" applyAlignment="1">
      <alignment horizontal="center" wrapText="1"/>
    </xf>
    <xf numFmtId="0" fontId="52" fillId="0" borderId="49" xfId="0" applyFont="1" applyBorder="1" applyAlignment="1">
      <alignment horizontal="center" wrapText="1"/>
    </xf>
    <xf numFmtId="0" fontId="52" fillId="0" borderId="47" xfId="0" applyFont="1" applyBorder="1" applyAlignment="1">
      <alignment horizontal="left" wrapText="1"/>
    </xf>
    <xf numFmtId="0" fontId="52" fillId="0" borderId="48" xfId="0" applyFont="1" applyBorder="1" applyAlignment="1">
      <alignment horizontal="left" wrapText="1"/>
    </xf>
    <xf numFmtId="0" fontId="52" fillId="0" borderId="49" xfId="0" applyFont="1" applyBorder="1" applyAlignment="1">
      <alignment horizontal="left" wrapText="1"/>
    </xf>
    <xf numFmtId="0" fontId="51" fillId="0" borderId="47" xfId="0" applyFont="1" applyBorder="1" applyAlignment="1">
      <alignment horizontal="center"/>
    </xf>
    <xf numFmtId="0" fontId="51" fillId="0" borderId="48" xfId="0" applyFont="1" applyBorder="1" applyAlignment="1">
      <alignment horizontal="center"/>
    </xf>
    <xf numFmtId="0" fontId="51" fillId="0" borderId="49" xfId="0" applyFont="1" applyBorder="1" applyAlignment="1">
      <alignment/>
    </xf>
    <xf numFmtId="0" fontId="51" fillId="0" borderId="49" xfId="0" applyFont="1" applyBorder="1" applyAlignment="1">
      <alignment horizontal="center"/>
    </xf>
    <xf numFmtId="0" fontId="51" fillId="0" borderId="47" xfId="0" applyFont="1" applyBorder="1" applyAlignment="1">
      <alignment horizontal="center" wrapText="1"/>
    </xf>
    <xf numFmtId="0" fontId="51" fillId="0" borderId="48" xfId="0" applyFont="1" applyBorder="1" applyAlignment="1">
      <alignment horizontal="center" wrapText="1"/>
    </xf>
    <xf numFmtId="0" fontId="51" fillId="0" borderId="49" xfId="0" applyFont="1" applyBorder="1" applyAlignment="1">
      <alignment horizontal="center" wrapText="1"/>
    </xf>
    <xf numFmtId="0" fontId="5" fillId="0"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56" fillId="0" borderId="11" xfId="0" applyFont="1" applyFill="1" applyBorder="1" applyAlignment="1" applyProtection="1">
      <alignment horizontal="center" vertical="center" wrapText="1"/>
      <protection/>
    </xf>
    <xf numFmtId="0" fontId="57" fillId="0" borderId="50" xfId="0" applyFont="1" applyFill="1" applyBorder="1" applyAlignment="1" applyProtection="1">
      <alignment horizontal="center" vertical="center" wrapText="1"/>
      <protection/>
    </xf>
    <xf numFmtId="0" fontId="57" fillId="0" borderId="11" xfId="0" applyFont="1" applyFill="1" applyBorder="1" applyAlignment="1" applyProtection="1">
      <alignment horizontal="center" vertical="center" wrapText="1"/>
      <protection/>
    </xf>
    <xf numFmtId="9" fontId="56" fillId="0" borderId="11" xfId="0" applyNumberFormat="1" applyFont="1" applyFill="1" applyBorder="1" applyAlignment="1" applyProtection="1">
      <alignment horizontal="center" vertical="center" wrapText="1"/>
      <protection/>
    </xf>
    <xf numFmtId="169" fontId="57" fillId="0" borderId="11" xfId="50" applyNumberFormat="1" applyFont="1" applyFill="1" applyBorder="1" applyAlignment="1" applyProtection="1">
      <alignment horizontal="center" vertical="center" wrapText="1"/>
      <protection/>
    </xf>
    <xf numFmtId="0" fontId="59" fillId="0" borderId="11" xfId="0" applyFont="1" applyFill="1" applyBorder="1" applyAlignment="1" applyProtection="1">
      <alignment horizontal="justify" vertical="top" wrapText="1"/>
      <protection locked="0"/>
    </xf>
    <xf numFmtId="0" fontId="60" fillId="0" borderId="11" xfId="0" applyFont="1" applyFill="1" applyBorder="1" applyAlignment="1" applyProtection="1">
      <alignment horizontal="justify" vertical="top" wrapText="1"/>
      <protection locked="0"/>
    </xf>
    <xf numFmtId="0" fontId="56" fillId="0" borderId="22" xfId="0" applyFont="1" applyFill="1" applyBorder="1" applyAlignment="1" applyProtection="1">
      <alignment horizontal="center" vertical="center" wrapText="1"/>
      <protection/>
    </xf>
    <xf numFmtId="0" fontId="22" fillId="0" borderId="22" xfId="0" applyFont="1" applyFill="1" applyBorder="1" applyAlignment="1" applyProtection="1">
      <alignment horizontal="center" vertical="center" wrapText="1"/>
      <protection/>
    </xf>
    <xf numFmtId="0" fontId="57" fillId="0" borderId="22" xfId="0" applyFont="1" applyFill="1" applyBorder="1" applyAlignment="1" applyProtection="1">
      <alignment horizontal="center" vertical="center" wrapText="1"/>
      <protection/>
    </xf>
    <xf numFmtId="9" fontId="56" fillId="0" borderId="22" xfId="0" applyNumberFormat="1" applyFont="1" applyFill="1" applyBorder="1" applyAlignment="1" applyProtection="1">
      <alignment horizontal="center" vertical="center" wrapText="1"/>
      <protection/>
    </xf>
    <xf numFmtId="169" fontId="57" fillId="0" borderId="22" xfId="50" applyNumberFormat="1" applyFont="1" applyFill="1" applyBorder="1" applyAlignment="1" applyProtection="1">
      <alignment horizontal="center" vertical="center" wrapText="1"/>
      <protection/>
    </xf>
    <xf numFmtId="0" fontId="60" fillId="0" borderId="22" xfId="0" applyFont="1" applyFill="1" applyBorder="1" applyAlignment="1" applyProtection="1">
      <alignment horizontal="justify" vertical="top"/>
      <protection locked="0"/>
    </xf>
    <xf numFmtId="0" fontId="57" fillId="38" borderId="10" xfId="0" applyFont="1" applyFill="1" applyBorder="1" applyAlignment="1" applyProtection="1">
      <alignment horizontal="center" vertical="center" wrapText="1"/>
      <protection/>
    </xf>
    <xf numFmtId="194" fontId="62" fillId="38" borderId="10" xfId="0" applyNumberFormat="1" applyFont="1" applyFill="1" applyBorder="1" applyAlignment="1" applyProtection="1">
      <alignment horizontal="center" vertical="center"/>
      <protection/>
    </xf>
    <xf numFmtId="0" fontId="8" fillId="0" borderId="16" xfId="0" applyFont="1" applyFill="1" applyBorder="1" applyAlignment="1" applyProtection="1">
      <alignment/>
      <protection/>
    </xf>
    <xf numFmtId="3" fontId="8" fillId="0" borderId="10"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xf>
    <xf numFmtId="3" fontId="8" fillId="0" borderId="42" xfId="0" applyNumberFormat="1" applyFont="1" applyFill="1" applyBorder="1" applyAlignment="1" applyProtection="1">
      <alignment horizontal="center" vertical="center"/>
      <protection/>
    </xf>
    <xf numFmtId="169" fontId="57" fillId="0" borderId="10" xfId="50" applyNumberFormat="1" applyFont="1" applyFill="1" applyBorder="1" applyAlignment="1" applyProtection="1">
      <alignment horizontal="center" vertical="center" wrapText="1"/>
      <protection/>
    </xf>
    <xf numFmtId="0" fontId="0" fillId="38" borderId="0" xfId="0" applyFill="1" applyAlignment="1" applyProtection="1">
      <alignment vertical="center"/>
      <protection/>
    </xf>
    <xf numFmtId="0" fontId="63" fillId="0" borderId="16" xfId="0" applyFont="1" applyFill="1" applyBorder="1" applyAlignment="1" applyProtection="1">
      <alignment/>
      <protection/>
    </xf>
    <xf numFmtId="3" fontId="63" fillId="0" borderId="10" xfId="0" applyNumberFormat="1" applyFont="1" applyFill="1" applyBorder="1" applyAlignment="1" applyProtection="1">
      <alignment horizontal="center" vertical="center"/>
      <protection/>
    </xf>
    <xf numFmtId="3" fontId="63" fillId="0" borderId="42" xfId="0" applyNumberFormat="1" applyFont="1" applyFill="1" applyBorder="1" applyAlignment="1" applyProtection="1">
      <alignment horizontal="center" vertical="center"/>
      <protection/>
    </xf>
    <xf numFmtId="0" fontId="64" fillId="0" borderId="16" xfId="0" applyFont="1" applyFill="1" applyBorder="1" applyAlignment="1" applyProtection="1">
      <alignment vertical="center"/>
      <protection/>
    </xf>
    <xf numFmtId="0" fontId="56" fillId="0" borderId="15"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horizontal="center" vertical="center" wrapText="1"/>
      <protection/>
    </xf>
    <xf numFmtId="9" fontId="56" fillId="0" borderId="15" xfId="0" applyNumberFormat="1" applyFont="1" applyFill="1" applyBorder="1" applyAlignment="1" applyProtection="1">
      <alignment horizontal="center" vertical="center" wrapText="1"/>
      <protection/>
    </xf>
    <xf numFmtId="169" fontId="57" fillId="0" borderId="15" xfId="50" applyNumberFormat="1" applyFont="1" applyFill="1" applyBorder="1" applyAlignment="1" applyProtection="1">
      <alignment horizontal="center" vertical="center" wrapText="1"/>
      <protection/>
    </xf>
    <xf numFmtId="0" fontId="60" fillId="0" borderId="15" xfId="0" applyFont="1" applyFill="1" applyBorder="1" applyAlignment="1" applyProtection="1">
      <alignment horizontal="justify" vertical="top"/>
      <protection locked="0"/>
    </xf>
    <xf numFmtId="0" fontId="8" fillId="0" borderId="45" xfId="0" applyFont="1" applyFill="1" applyBorder="1" applyAlignment="1" applyProtection="1">
      <alignment/>
      <protection/>
    </xf>
    <xf numFmtId="3" fontId="8" fillId="0" borderId="18" xfId="0" applyNumberFormat="1" applyFont="1" applyFill="1" applyBorder="1" applyAlignment="1" applyProtection="1">
      <alignment horizontal="center" vertical="center"/>
      <protection locked="0"/>
    </xf>
    <xf numFmtId="3" fontId="8" fillId="0" borderId="18" xfId="0" applyNumberFormat="1" applyFont="1" applyFill="1" applyBorder="1" applyAlignment="1" applyProtection="1">
      <alignment horizontal="center" vertical="center"/>
      <protection/>
    </xf>
    <xf numFmtId="3" fontId="8" fillId="0" borderId="46" xfId="0" applyNumberFormat="1" applyFont="1" applyFill="1" applyBorder="1" applyAlignment="1" applyProtection="1">
      <alignment horizontal="center" vertical="center"/>
      <protection/>
    </xf>
    <xf numFmtId="0" fontId="58" fillId="0" borderId="11" xfId="0" applyFont="1" applyFill="1" applyBorder="1" applyAlignment="1" applyProtection="1">
      <alignment horizontal="center" vertical="center" wrapText="1"/>
      <protection/>
    </xf>
    <xf numFmtId="0" fontId="64" fillId="0" borderId="36" xfId="0" applyFont="1" applyFill="1" applyBorder="1" applyAlignment="1" applyProtection="1">
      <alignment vertical="center"/>
      <protection/>
    </xf>
    <xf numFmtId="3" fontId="8" fillId="0" borderId="37"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xf>
    <xf numFmtId="3" fontId="8" fillId="0" borderId="38" xfId="0" applyNumberFormat="1" applyFont="1" applyFill="1" applyBorder="1" applyAlignment="1" applyProtection="1">
      <alignment horizontal="center" vertical="center"/>
      <protection/>
    </xf>
    <xf numFmtId="0" fontId="58" fillId="0" borderId="22"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0" fontId="57" fillId="0" borderId="11" xfId="0" applyFont="1" applyFill="1" applyBorder="1" applyAlignment="1" applyProtection="1">
      <alignment horizontal="left" vertical="center" wrapText="1" indent="1"/>
      <protection/>
    </xf>
    <xf numFmtId="0" fontId="57" fillId="0" borderId="22" xfId="0" applyFont="1" applyFill="1" applyBorder="1" applyAlignment="1" applyProtection="1">
      <alignment horizontal="left" vertical="center" wrapText="1" indent="1"/>
      <protection/>
    </xf>
    <xf numFmtId="0" fontId="57" fillId="0" borderId="15" xfId="0" applyFont="1" applyFill="1" applyBorder="1" applyAlignment="1" applyProtection="1">
      <alignment horizontal="left" vertical="center" wrapText="1" indent="1"/>
      <protection/>
    </xf>
    <xf numFmtId="0" fontId="60" fillId="35" borderId="22" xfId="0" applyFont="1" applyFill="1" applyBorder="1" applyAlignment="1" applyProtection="1">
      <alignment horizontal="justify" vertical="top"/>
      <protection locked="0"/>
    </xf>
    <xf numFmtId="0" fontId="65" fillId="35" borderId="22" xfId="0" applyFont="1" applyFill="1" applyBorder="1" applyAlignment="1" applyProtection="1">
      <alignment horizontal="justify" vertical="top"/>
      <protection locked="0"/>
    </xf>
    <xf numFmtId="0" fontId="65" fillId="35" borderId="22" xfId="0" applyFont="1" applyFill="1" applyBorder="1" applyAlignment="1" applyProtection="1">
      <alignment horizontal="justify" vertical="top" wrapText="1"/>
      <protection locked="0"/>
    </xf>
    <xf numFmtId="0" fontId="60" fillId="0" borderId="51" xfId="0" applyFont="1" applyFill="1" applyBorder="1" applyAlignment="1" applyProtection="1">
      <alignment horizontal="justify" vertical="top" wrapText="1"/>
      <protection locked="0"/>
    </xf>
    <xf numFmtId="169" fontId="57" fillId="38" borderId="10" xfId="50" applyNumberFormat="1" applyFont="1" applyFill="1" applyBorder="1" applyAlignment="1" applyProtection="1">
      <alignment horizontal="center" vertical="center" wrapText="1"/>
      <protection/>
    </xf>
    <xf numFmtId="0" fontId="58" fillId="0" borderId="22" xfId="0" applyFont="1" applyFill="1" applyBorder="1" applyAlignment="1" applyProtection="1">
      <alignment horizontal="left" vertical="center" wrapText="1"/>
      <protection/>
    </xf>
    <xf numFmtId="0" fontId="58" fillId="0" borderId="22" xfId="0" applyFont="1" applyFill="1" applyBorder="1" applyAlignment="1" applyProtection="1">
      <alignment horizontal="center" vertical="center"/>
      <protection/>
    </xf>
    <xf numFmtId="0" fontId="22" fillId="0" borderId="22" xfId="0" applyFont="1" applyFill="1" applyBorder="1" applyAlignment="1" applyProtection="1">
      <alignment vertical="center"/>
      <protection/>
    </xf>
    <xf numFmtId="0" fontId="58" fillId="0" borderId="15" xfId="0" applyFont="1" applyFill="1" applyBorder="1" applyAlignment="1" applyProtection="1">
      <alignment horizontal="left" vertical="center" wrapText="1"/>
      <protection/>
    </xf>
    <xf numFmtId="0" fontId="58" fillId="0" borderId="15" xfId="0" applyFont="1" applyFill="1" applyBorder="1" applyAlignment="1" applyProtection="1">
      <alignment horizontal="center" vertical="center"/>
      <protection/>
    </xf>
    <xf numFmtId="0" fontId="22" fillId="0" borderId="15" xfId="0" applyFont="1" applyFill="1" applyBorder="1" applyAlignment="1" applyProtection="1">
      <alignment vertical="center"/>
      <protection/>
    </xf>
    <xf numFmtId="0" fontId="60" fillId="35" borderId="15" xfId="0" applyFont="1" applyFill="1" applyBorder="1" applyAlignment="1" applyProtection="1">
      <alignment horizontal="justify" vertical="top"/>
      <protection locked="0"/>
    </xf>
    <xf numFmtId="0" fontId="65" fillId="35" borderId="15" xfId="0" applyFont="1" applyFill="1" applyBorder="1" applyAlignment="1" applyProtection="1">
      <alignment horizontal="justify" vertical="top"/>
      <protection locked="0"/>
    </xf>
    <xf numFmtId="0" fontId="65" fillId="35" borderId="15" xfId="0" applyFont="1" applyFill="1" applyBorder="1" applyAlignment="1" applyProtection="1">
      <alignment horizontal="justify" vertical="top" wrapText="1"/>
      <protection locked="0"/>
    </xf>
    <xf numFmtId="0" fontId="60" fillId="0" borderId="52" xfId="0" applyFont="1" applyFill="1" applyBorder="1" applyAlignment="1" applyProtection="1">
      <alignment horizontal="justify" vertical="top" wrapText="1"/>
      <protection locked="0"/>
    </xf>
    <xf numFmtId="0" fontId="57" fillId="39" borderId="10" xfId="0" applyFont="1" applyFill="1" applyBorder="1" applyAlignment="1" applyProtection="1">
      <alignment horizontal="center" vertical="center" wrapText="1"/>
      <protection/>
    </xf>
    <xf numFmtId="194" fontId="62" fillId="39" borderId="10" xfId="0" applyNumberFormat="1" applyFont="1" applyFill="1" applyBorder="1" applyAlignment="1" applyProtection="1">
      <alignment horizontal="center" vertical="center"/>
      <protection/>
    </xf>
    <xf numFmtId="195" fontId="56" fillId="0" borderId="11" xfId="0" applyNumberFormat="1" applyFont="1" applyFill="1" applyBorder="1" applyAlignment="1" applyProtection="1">
      <alignment horizontal="center" vertical="center" wrapText="1"/>
      <protection/>
    </xf>
    <xf numFmtId="195" fontId="56" fillId="0" borderId="11" xfId="0" applyNumberFormat="1" applyFont="1" applyFill="1" applyBorder="1" applyAlignment="1" applyProtection="1">
      <alignment horizontal="center" vertical="center" wrapText="1"/>
      <protection locked="0"/>
    </xf>
    <xf numFmtId="0" fontId="60" fillId="35" borderId="11" xfId="0" applyFont="1" applyFill="1" applyBorder="1" applyAlignment="1" applyProtection="1">
      <alignment horizontal="justify" vertical="top" wrapText="1"/>
      <protection locked="0"/>
    </xf>
    <xf numFmtId="0" fontId="0" fillId="39" borderId="0" xfId="0" applyFill="1" applyAlignment="1" applyProtection="1">
      <alignment vertical="center"/>
      <protection/>
    </xf>
    <xf numFmtId="195" fontId="56" fillId="0" borderId="22" xfId="0" applyNumberFormat="1" applyFont="1" applyFill="1" applyBorder="1" applyAlignment="1" applyProtection="1">
      <alignment horizontal="center" vertical="center" wrapText="1"/>
      <protection/>
    </xf>
    <xf numFmtId="195" fontId="56" fillId="0" borderId="22" xfId="0" applyNumberFormat="1" applyFont="1" applyFill="1" applyBorder="1" applyAlignment="1" applyProtection="1">
      <alignment horizontal="center" vertical="center" wrapText="1"/>
      <protection locked="0"/>
    </xf>
    <xf numFmtId="0" fontId="60" fillId="0" borderId="22" xfId="0" applyFont="1" applyFill="1" applyBorder="1" applyAlignment="1" applyProtection="1">
      <alignment horizontal="justify" vertical="top" wrapText="1"/>
      <protection locked="0"/>
    </xf>
    <xf numFmtId="0" fontId="60" fillId="35" borderId="22" xfId="0" applyFont="1" applyFill="1" applyBorder="1" applyAlignment="1" applyProtection="1">
      <alignment horizontal="justify" vertical="top" wrapText="1"/>
      <protection locked="0"/>
    </xf>
    <xf numFmtId="169" fontId="57" fillId="39" borderId="10" xfId="50" applyNumberFormat="1" applyFont="1" applyFill="1" applyBorder="1" applyAlignment="1" applyProtection="1">
      <alignment horizontal="center" vertical="center" wrapText="1"/>
      <protection/>
    </xf>
    <xf numFmtId="0" fontId="60" fillId="0" borderId="11" xfId="0" applyFont="1" applyFill="1" applyBorder="1" applyAlignment="1" applyProtection="1">
      <alignment horizontal="left" vertical="center" wrapText="1"/>
      <protection locked="0"/>
    </xf>
    <xf numFmtId="0" fontId="60" fillId="0" borderId="22" xfId="0" applyFont="1" applyFill="1" applyBorder="1" applyAlignment="1" applyProtection="1">
      <alignment horizontal="left" vertical="center" wrapText="1"/>
      <protection locked="0"/>
    </xf>
    <xf numFmtId="195" fontId="56" fillId="0" borderId="15" xfId="0" applyNumberFormat="1" applyFont="1" applyFill="1" applyBorder="1" applyAlignment="1" applyProtection="1">
      <alignment horizontal="center" vertical="center" wrapText="1"/>
      <protection/>
    </xf>
    <xf numFmtId="195" fontId="56" fillId="0" borderId="15" xfId="0" applyNumberFormat="1" applyFont="1" applyFill="1" applyBorder="1" applyAlignment="1" applyProtection="1">
      <alignment horizontal="center" vertical="center" wrapText="1"/>
      <protection locked="0"/>
    </xf>
    <xf numFmtId="0" fontId="60" fillId="0" borderId="15" xfId="0" applyFont="1" applyFill="1" applyBorder="1" applyAlignment="1" applyProtection="1">
      <alignment horizontal="justify" vertical="top" wrapText="1"/>
      <protection locked="0"/>
    </xf>
    <xf numFmtId="0" fontId="65" fillId="0" borderId="11" xfId="0" applyFont="1" applyFill="1" applyBorder="1" applyAlignment="1" applyProtection="1">
      <alignment horizontal="justify" vertical="top" wrapText="1"/>
      <protection locked="0"/>
    </xf>
    <xf numFmtId="0" fontId="58" fillId="0" borderId="11" xfId="0" applyFont="1" applyFill="1" applyBorder="1" applyAlignment="1" applyProtection="1">
      <alignment vertical="top" wrapText="1"/>
      <protection locked="0"/>
    </xf>
    <xf numFmtId="0" fontId="58" fillId="0" borderId="22" xfId="0" applyFont="1" applyFill="1" applyBorder="1" applyAlignment="1" applyProtection="1">
      <alignment vertical="top" wrapText="1"/>
      <protection locked="0"/>
    </xf>
    <xf numFmtId="0" fontId="15" fillId="33" borderId="0" xfId="0" applyFont="1" applyFill="1" applyAlignment="1" applyProtection="1">
      <alignment vertical="center"/>
      <protection/>
    </xf>
    <xf numFmtId="0" fontId="15" fillId="33" borderId="10" xfId="0" applyFont="1" applyFill="1" applyBorder="1" applyAlignment="1" applyProtection="1">
      <alignment vertical="center"/>
      <protection/>
    </xf>
    <xf numFmtId="9" fontId="15" fillId="33" borderId="10" xfId="0" applyNumberFormat="1" applyFont="1" applyFill="1" applyBorder="1" applyAlignment="1" applyProtection="1">
      <alignment vertical="center"/>
      <protection/>
    </xf>
    <xf numFmtId="228" fontId="3" fillId="33" borderId="10" xfId="0" applyNumberFormat="1"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197" fontId="1" fillId="0" borderId="0" xfId="50" applyNumberFormat="1" applyFont="1" applyAlignment="1" applyProtection="1">
      <alignment/>
      <protection/>
    </xf>
    <xf numFmtId="169" fontId="0" fillId="0" borderId="0" xfId="0" applyNumberFormat="1" applyAlignment="1" applyProtection="1">
      <alignment vertical="center"/>
      <protection/>
    </xf>
    <xf numFmtId="203" fontId="0" fillId="0" borderId="0" xfId="0" applyNumberFormat="1" applyAlignment="1" applyProtection="1">
      <alignment vertical="center"/>
      <protection/>
    </xf>
    <xf numFmtId="1"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8" fontId="0" fillId="0" borderId="0" xfId="0" applyNumberFormat="1" applyAlignment="1" applyProtection="1">
      <alignment vertical="center"/>
      <protection/>
    </xf>
    <xf numFmtId="171" fontId="1" fillId="0" borderId="0" xfId="50" applyFont="1" applyAlignment="1" applyProtection="1">
      <alignment vertical="center"/>
      <protection/>
    </xf>
    <xf numFmtId="0" fontId="0" fillId="0" borderId="0" xfId="0" applyAlignment="1" applyProtection="1">
      <alignment horizontal="lef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40" borderId="53" xfId="50" applyNumberFormat="1" applyFont="1" applyFill="1" applyBorder="1" applyAlignment="1" applyProtection="1">
      <alignment vertical="center"/>
      <protection/>
    </xf>
    <xf numFmtId="9" fontId="1" fillId="0" borderId="0" xfId="60" applyFont="1" applyAlignment="1" applyProtection="1">
      <alignment vertical="center"/>
      <protection/>
    </xf>
    <xf numFmtId="200" fontId="1" fillId="0" borderId="0" xfId="50" applyNumberFormat="1" applyFont="1" applyAlignment="1" applyProtection="1">
      <alignment vertical="center"/>
      <protection/>
    </xf>
    <xf numFmtId="200" fontId="0" fillId="40" borderId="53" xfId="0" applyNumberFormat="1" applyFill="1" applyBorder="1" applyAlignment="1" applyProtection="1">
      <alignment vertical="center"/>
      <protection/>
    </xf>
    <xf numFmtId="0" fontId="51" fillId="0" borderId="40" xfId="0" applyFont="1" applyBorder="1" applyAlignment="1">
      <alignment wrapText="1"/>
    </xf>
    <xf numFmtId="0" fontId="51" fillId="0" borderId="0" xfId="0" applyFont="1" applyBorder="1" applyAlignment="1">
      <alignment wrapText="1"/>
    </xf>
    <xf numFmtId="0" fontId="51" fillId="0" borderId="48" xfId="0" applyFont="1" applyBorder="1" applyAlignment="1">
      <alignment wrapText="1"/>
    </xf>
    <xf numFmtId="0" fontId="8" fillId="0" borderId="0" xfId="0" applyFont="1" applyAlignment="1" applyProtection="1">
      <alignment vertical="center"/>
      <protection/>
    </xf>
    <xf numFmtId="0" fontId="3" fillId="33" borderId="54"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13" xfId="0" applyFont="1" applyFill="1" applyBorder="1" applyAlignment="1" applyProtection="1">
      <alignment vertical="center" wrapText="1"/>
      <protection/>
    </xf>
    <xf numFmtId="3" fontId="3" fillId="33" borderId="23" xfId="0" applyNumberFormat="1" applyFont="1" applyFill="1" applyBorder="1" applyAlignment="1" applyProtection="1">
      <alignment horizontal="center" vertical="center" wrapText="1"/>
      <protection/>
    </xf>
    <xf numFmtId="3" fontId="3" fillId="33" borderId="24" xfId="0" applyNumberFormat="1" applyFont="1" applyFill="1" applyBorder="1" applyAlignment="1" applyProtection="1">
      <alignment horizontal="center" vertical="center" wrapText="1"/>
      <protection/>
    </xf>
    <xf numFmtId="3" fontId="3" fillId="33" borderId="19" xfId="0" applyNumberFormat="1"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wrapText="1"/>
      <protection/>
    </xf>
    <xf numFmtId="196" fontId="57" fillId="0" borderId="10" xfId="0" applyNumberFormat="1" applyFont="1" applyFill="1" applyBorder="1" applyAlignment="1" applyProtection="1">
      <alignment horizontal="center" vertical="center"/>
      <protection/>
    </xf>
    <xf numFmtId="0" fontId="57"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justify" vertical="center" wrapText="1"/>
      <protection/>
    </xf>
    <xf numFmtId="0" fontId="57" fillId="0" borderId="10" xfId="0" applyFont="1" applyFill="1" applyBorder="1" applyAlignment="1" applyProtection="1">
      <alignment horizontal="left" vertical="center" wrapText="1"/>
      <protection/>
    </xf>
    <xf numFmtId="9" fontId="66" fillId="34" borderId="10" xfId="0" applyNumberFormat="1" applyFont="1" applyFill="1" applyBorder="1" applyAlignment="1" applyProtection="1">
      <alignment horizontal="center" vertical="center" wrapText="1"/>
      <protection/>
    </xf>
    <xf numFmtId="9" fontId="56" fillId="0" borderId="10" xfId="58" applyNumberFormat="1" applyFont="1" applyFill="1" applyBorder="1" applyAlignment="1" applyProtection="1">
      <alignment horizontal="center" vertical="center" wrapText="1"/>
      <protection locked="0"/>
    </xf>
    <xf numFmtId="200" fontId="1" fillId="0" borderId="10" xfId="50" applyNumberFormat="1" applyFont="1" applyFill="1" applyBorder="1" applyAlignment="1" applyProtection="1">
      <alignment horizontal="center" vertical="center" wrapText="1"/>
      <protection/>
    </xf>
    <xf numFmtId="3" fontId="57" fillId="0" borderId="10" xfId="0" applyNumberFormat="1" applyFont="1" applyFill="1" applyBorder="1" applyAlignment="1" applyProtection="1">
      <alignment horizontal="center" vertical="center"/>
      <protection locked="0"/>
    </xf>
    <xf numFmtId="37" fontId="1" fillId="0" borderId="10" xfId="50" applyNumberFormat="1" applyFont="1" applyFill="1" applyBorder="1" applyAlignment="1" applyProtection="1">
      <alignment horizontal="right" vertical="center" wrapText="1"/>
      <protection/>
    </xf>
    <xf numFmtId="0" fontId="67" fillId="0" borderId="10" xfId="0"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top" wrapText="1"/>
      <protection locked="0"/>
    </xf>
    <xf numFmtId="195" fontId="57" fillId="0" borderId="10" xfId="60" applyNumberFormat="1"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200" fontId="17" fillId="34" borderId="10" xfId="50" applyNumberFormat="1" applyFont="1" applyFill="1" applyBorder="1" applyAlignment="1" applyProtection="1">
      <alignment horizontal="center" vertical="center" wrapText="1"/>
      <protection/>
    </xf>
    <xf numFmtId="0" fontId="57" fillId="0" borderId="10" xfId="0" applyFont="1" applyFill="1" applyBorder="1" applyAlignment="1" applyProtection="1">
      <alignment vertical="center"/>
      <protection locked="0"/>
    </xf>
    <xf numFmtId="0" fontId="68" fillId="0" borderId="0" xfId="0" applyFont="1" applyAlignment="1">
      <alignment horizontal="justify"/>
    </xf>
    <xf numFmtId="196" fontId="69" fillId="41" borderId="10" xfId="0" applyNumberFormat="1" applyFont="1" applyFill="1" applyBorder="1" applyAlignment="1" applyProtection="1">
      <alignment horizontal="center" vertical="center"/>
      <protection/>
    </xf>
    <xf numFmtId="196" fontId="57" fillId="41" borderId="10" xfId="0" applyNumberFormat="1" applyFont="1" applyFill="1" applyBorder="1" applyAlignment="1" applyProtection="1">
      <alignment horizontal="center" vertical="center"/>
      <protection/>
    </xf>
    <xf numFmtId="0" fontId="57" fillId="41" borderId="10" xfId="0" applyFont="1" applyFill="1" applyBorder="1" applyAlignment="1" applyProtection="1">
      <alignment horizontal="center" vertical="center"/>
      <protection/>
    </xf>
    <xf numFmtId="0" fontId="57" fillId="41" borderId="10" xfId="0" applyFont="1" applyFill="1" applyBorder="1" applyAlignment="1" applyProtection="1">
      <alignment horizontal="left" vertical="center" wrapText="1"/>
      <protection/>
    </xf>
    <xf numFmtId="0" fontId="70" fillId="41" borderId="10" xfId="0" applyFont="1" applyFill="1" applyBorder="1" applyAlignment="1" applyProtection="1">
      <alignment horizontal="center" vertical="center"/>
      <protection/>
    </xf>
    <xf numFmtId="3" fontId="57" fillId="41" borderId="10" xfId="0" applyNumberFormat="1" applyFont="1" applyFill="1" applyBorder="1" applyAlignment="1" applyProtection="1">
      <alignment horizontal="center" vertical="center"/>
      <protection/>
    </xf>
    <xf numFmtId="0" fontId="57" fillId="41" borderId="10" xfId="0" applyFont="1" applyFill="1" applyBorder="1" applyAlignment="1" applyProtection="1">
      <alignment horizontal="justify" vertical="top" wrapText="1"/>
      <protection/>
    </xf>
    <xf numFmtId="0" fontId="57" fillId="41" borderId="10" xfId="0" applyFont="1" applyFill="1" applyBorder="1" applyAlignment="1" applyProtection="1">
      <alignment vertical="center"/>
      <protection/>
    </xf>
    <xf numFmtId="195" fontId="57" fillId="41" borderId="10" xfId="60" applyNumberFormat="1" applyFont="1" applyFill="1" applyBorder="1" applyAlignment="1" applyProtection="1">
      <alignment horizontal="center" vertical="center"/>
      <protection/>
    </xf>
    <xf numFmtId="0" fontId="0" fillId="41" borderId="0" xfId="0" applyFill="1" applyAlignment="1" applyProtection="1">
      <alignment vertical="center"/>
      <protection/>
    </xf>
    <xf numFmtId="0" fontId="57" fillId="0" borderId="10" xfId="0" applyFont="1" applyFill="1" applyBorder="1" applyAlignment="1" applyProtection="1">
      <alignment horizontal="justify" vertical="center" wrapText="1"/>
      <protection/>
    </xf>
    <xf numFmtId="9" fontId="66" fillId="0" borderId="10" xfId="0" applyNumberFormat="1" applyFont="1" applyFill="1" applyBorder="1" applyAlignment="1" applyProtection="1">
      <alignment horizontal="center" vertical="center" wrapText="1"/>
      <protection/>
    </xf>
    <xf numFmtId="200" fontId="17" fillId="0" borderId="10" xfId="50" applyNumberFormat="1" applyFont="1" applyFill="1" applyBorder="1" applyAlignment="1" applyProtection="1">
      <alignment horizontal="center" vertical="center" wrapText="1"/>
      <protection/>
    </xf>
    <xf numFmtId="0" fontId="29" fillId="35" borderId="10" xfId="0" applyFont="1" applyFill="1" applyBorder="1" applyAlignment="1" applyProtection="1">
      <alignment horizontal="justify" vertical="center" wrapText="1"/>
      <protection locked="0"/>
    </xf>
    <xf numFmtId="0" fontId="71" fillId="0" borderId="10" xfId="0" applyFont="1" applyFill="1" applyBorder="1" applyAlignment="1" applyProtection="1">
      <alignment horizontal="justify" vertical="center"/>
      <protection locked="0"/>
    </xf>
    <xf numFmtId="196" fontId="69" fillId="0" borderId="10" xfId="0" applyNumberFormat="1" applyFont="1" applyFill="1" applyBorder="1" applyAlignment="1" applyProtection="1">
      <alignment horizontal="center" vertical="center"/>
      <protection/>
    </xf>
    <xf numFmtId="200" fontId="8" fillId="0" borderId="10" xfId="50" applyNumberFormat="1" applyFont="1" applyFill="1" applyBorder="1" applyAlignment="1">
      <alignment horizontal="center" vertical="center" wrapText="1"/>
    </xf>
    <xf numFmtId="0" fontId="71" fillId="0" borderId="10" xfId="0" applyFont="1" applyFill="1" applyBorder="1" applyAlignment="1" applyProtection="1">
      <alignment horizontal="justify" vertical="top" wrapText="1"/>
      <protection locked="0"/>
    </xf>
    <xf numFmtId="0" fontId="66" fillId="0" borderId="10" xfId="0" applyNumberFormat="1"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protection locked="0"/>
    </xf>
    <xf numFmtId="0" fontId="98" fillId="35" borderId="10" xfId="0" applyFont="1" applyFill="1" applyBorder="1" applyAlignment="1" applyProtection="1">
      <alignment horizontal="justify" vertical="center" wrapText="1"/>
      <protection locked="0"/>
    </xf>
    <xf numFmtId="200" fontId="8" fillId="35" borderId="10" xfId="50" applyNumberFormat="1" applyFont="1" applyFill="1" applyBorder="1" applyAlignment="1">
      <alignment horizontal="center" vertical="center" wrapText="1"/>
    </xf>
    <xf numFmtId="3" fontId="57" fillId="35" borderId="10" xfId="0" applyNumberFormat="1" applyFont="1" applyFill="1" applyBorder="1" applyAlignment="1" applyProtection="1">
      <alignment horizontal="center" vertical="center"/>
      <protection locked="0"/>
    </xf>
    <xf numFmtId="37" fontId="1" fillId="35" borderId="10" xfId="50" applyNumberFormat="1" applyFont="1" applyFill="1" applyBorder="1" applyAlignment="1" applyProtection="1">
      <alignment horizontal="right" vertical="center" wrapText="1"/>
      <protection/>
    </xf>
    <xf numFmtId="0" fontId="36" fillId="35" borderId="10" xfId="0" applyFont="1" applyFill="1" applyBorder="1" applyAlignment="1" applyProtection="1">
      <alignment horizontal="justify" vertical="top" wrapText="1"/>
      <protection locked="0"/>
    </xf>
    <xf numFmtId="9" fontId="56" fillId="0" borderId="10" xfId="0" applyNumberFormat="1" applyFont="1" applyFill="1" applyBorder="1" applyAlignment="1" applyProtection="1">
      <alignment horizontal="center" vertical="center" wrapText="1"/>
      <protection locked="0"/>
    </xf>
    <xf numFmtId="0" fontId="68" fillId="0" borderId="0" xfId="0" applyFont="1" applyAlignment="1">
      <alignment/>
    </xf>
    <xf numFmtId="0" fontId="66" fillId="34" borderId="10" xfId="0" applyNumberFormat="1" applyFont="1" applyFill="1" applyBorder="1" applyAlignment="1" applyProtection="1">
      <alignment horizontal="center" vertical="center" wrapText="1"/>
      <protection/>
    </xf>
    <xf numFmtId="3" fontId="99" fillId="0" borderId="10" xfId="0" applyNumberFormat="1" applyFont="1" applyFill="1" applyBorder="1" applyAlignment="1" applyProtection="1">
      <alignment horizontal="center" vertical="center"/>
      <protection locked="0"/>
    </xf>
    <xf numFmtId="3" fontId="100" fillId="0" borderId="10" xfId="0" applyNumberFormat="1" applyFont="1" applyFill="1" applyBorder="1" applyAlignment="1" applyProtection="1">
      <alignment horizontal="center" vertical="center"/>
      <protection locked="0"/>
    </xf>
    <xf numFmtId="196" fontId="69" fillId="42" borderId="10" xfId="0" applyNumberFormat="1" applyFont="1" applyFill="1" applyBorder="1" applyAlignment="1" applyProtection="1">
      <alignment horizontal="center" vertical="center"/>
      <protection/>
    </xf>
    <xf numFmtId="0" fontId="57" fillId="42" borderId="10" xfId="0" applyFont="1" applyFill="1" applyBorder="1" applyAlignment="1" applyProtection="1">
      <alignment horizontal="center" vertical="center" wrapText="1"/>
      <protection/>
    </xf>
    <xf numFmtId="0" fontId="57" fillId="42" borderId="10" xfId="0" applyFont="1" applyFill="1" applyBorder="1" applyAlignment="1" applyProtection="1">
      <alignment horizontal="center" vertical="center"/>
      <protection/>
    </xf>
    <xf numFmtId="0" fontId="57" fillId="42" borderId="10" xfId="0" applyFont="1" applyFill="1" applyBorder="1" applyAlignment="1" applyProtection="1">
      <alignment horizontal="left" vertical="center" wrapText="1"/>
      <protection/>
    </xf>
    <xf numFmtId="0" fontId="75" fillId="42" borderId="10" xfId="0" applyFont="1" applyFill="1" applyBorder="1" applyAlignment="1" applyProtection="1">
      <alignment horizontal="center" vertical="center"/>
      <protection/>
    </xf>
    <xf numFmtId="3" fontId="57" fillId="42" borderId="10" xfId="0" applyNumberFormat="1" applyFont="1" applyFill="1" applyBorder="1" applyAlignment="1" applyProtection="1">
      <alignment horizontal="center" vertical="center"/>
      <protection/>
    </xf>
    <xf numFmtId="0" fontId="57" fillId="42" borderId="10" xfId="0" applyFont="1" applyFill="1" applyBorder="1" applyAlignment="1" applyProtection="1">
      <alignment horizontal="justify" vertical="top" wrapText="1"/>
      <protection/>
    </xf>
    <xf numFmtId="0" fontId="57" fillId="42" borderId="10" xfId="0" applyFont="1" applyFill="1" applyBorder="1" applyAlignment="1" applyProtection="1">
      <alignment vertical="center"/>
      <protection/>
    </xf>
    <xf numFmtId="195" fontId="57" fillId="42" borderId="10" xfId="60" applyNumberFormat="1" applyFont="1" applyFill="1" applyBorder="1" applyAlignment="1" applyProtection="1">
      <alignment horizontal="center" vertical="center"/>
      <protection/>
    </xf>
    <xf numFmtId="1" fontId="66" fillId="0" borderId="10" xfId="55" applyNumberFormat="1" applyFont="1" applyFill="1" applyBorder="1" applyAlignment="1" applyProtection="1">
      <alignment horizontal="center" vertical="center" wrapText="1"/>
      <protection/>
    </xf>
    <xf numFmtId="200" fontId="86" fillId="0" borderId="10" xfId="50" applyNumberFormat="1" applyFont="1" applyFill="1" applyBorder="1" applyAlignment="1">
      <alignment horizontal="center" vertical="center" wrapText="1"/>
    </xf>
    <xf numFmtId="0" fontId="36" fillId="34" borderId="11" xfId="0" applyFont="1" applyFill="1" applyBorder="1" applyAlignment="1" applyProtection="1">
      <alignment horizontal="center" vertical="center" wrapText="1"/>
      <protection locked="0"/>
    </xf>
    <xf numFmtId="0" fontId="66" fillId="0" borderId="11" xfId="0" applyNumberFormat="1" applyFont="1" applyFill="1" applyBorder="1" applyAlignment="1" applyProtection="1">
      <alignment horizontal="center" vertical="center" wrapText="1"/>
      <protection/>
    </xf>
    <xf numFmtId="0" fontId="36" fillId="34" borderId="22" xfId="0" applyFont="1" applyFill="1" applyBorder="1" applyAlignment="1" applyProtection="1">
      <alignment horizontal="center" vertical="center" wrapText="1"/>
      <protection locked="0"/>
    </xf>
    <xf numFmtId="0" fontId="36" fillId="34" borderId="15" xfId="0" applyFont="1" applyFill="1" applyBorder="1" applyAlignment="1" applyProtection="1">
      <alignment horizontal="center" vertical="center" wrapText="1"/>
      <protection locked="0"/>
    </xf>
    <xf numFmtId="0" fontId="58" fillId="41" borderId="10" xfId="0" applyFont="1" applyFill="1" applyBorder="1" applyAlignment="1" applyProtection="1">
      <alignment horizontal="justify" vertical="center" wrapText="1"/>
      <protection/>
    </xf>
    <xf numFmtId="9" fontId="56" fillId="41" borderId="10" xfId="58" applyNumberFormat="1" applyFont="1" applyFill="1" applyBorder="1" applyAlignment="1" applyProtection="1">
      <alignment horizontal="center" vertical="center" wrapText="1"/>
      <protection/>
    </xf>
    <xf numFmtId="9" fontId="101" fillId="41" borderId="10" xfId="58" applyNumberFormat="1" applyFont="1" applyFill="1" applyBorder="1" applyAlignment="1" applyProtection="1">
      <alignment horizontal="center" vertical="center" wrapText="1"/>
      <protection/>
    </xf>
    <xf numFmtId="0" fontId="56" fillId="41" borderId="10" xfId="0" applyFont="1" applyFill="1" applyBorder="1" applyAlignment="1" applyProtection="1">
      <alignment horizontal="justify" vertical="top" wrapText="1"/>
      <protection/>
    </xf>
    <xf numFmtId="0" fontId="69" fillId="0" borderId="10" xfId="0" applyFont="1" applyFill="1" applyBorder="1" applyAlignment="1" applyProtection="1">
      <alignment horizontal="center" vertical="center" wrapText="1"/>
      <protection/>
    </xf>
    <xf numFmtId="9" fontId="66" fillId="34" borderId="10" xfId="60" applyFont="1" applyFill="1" applyBorder="1" applyAlignment="1" applyProtection="1">
      <alignment horizontal="center" vertical="center" wrapText="1"/>
      <protection/>
    </xf>
    <xf numFmtId="10" fontId="66" fillId="34" borderId="10" xfId="60" applyNumberFormat="1" applyFont="1" applyFill="1" applyBorder="1" applyAlignment="1" applyProtection="1">
      <alignment horizontal="center" vertical="center" wrapText="1"/>
      <protection locked="0"/>
    </xf>
    <xf numFmtId="3" fontId="101" fillId="0" borderId="10" xfId="0" applyNumberFormat="1" applyFont="1" applyFill="1" applyBorder="1" applyAlignment="1" applyProtection="1">
      <alignment horizontal="center" vertical="center"/>
      <protection locked="0"/>
    </xf>
    <xf numFmtId="0" fontId="67" fillId="0" borderId="10" xfId="0" applyFont="1" applyFill="1" applyBorder="1" applyAlignment="1" applyProtection="1">
      <alignment horizontal="justify" vertical="center" wrapText="1"/>
      <protection locked="0"/>
    </xf>
    <xf numFmtId="0" fontId="36" fillId="0" borderId="10" xfId="0" applyFont="1" applyFill="1" applyBorder="1" applyAlignment="1" applyProtection="1">
      <alignment horizontal="justify" vertical="center" wrapText="1"/>
      <protection locked="0"/>
    </xf>
    <xf numFmtId="9" fontId="70" fillId="41" borderId="10" xfId="58" applyNumberFormat="1"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1" fontId="66" fillId="34" borderId="10" xfId="55" applyNumberFormat="1" applyFont="1" applyFill="1" applyBorder="1" applyAlignment="1" applyProtection="1">
      <alignment horizontal="center" vertical="center" wrapText="1"/>
      <protection/>
    </xf>
    <xf numFmtId="9" fontId="17" fillId="0" borderId="10" xfId="0" applyNumberFormat="1" applyFont="1" applyFill="1" applyBorder="1" applyAlignment="1" applyProtection="1">
      <alignment horizontal="center" vertical="center" wrapText="1"/>
      <protection/>
    </xf>
    <xf numFmtId="195" fontId="56" fillId="0" borderId="10" xfId="58"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vertical="center" wrapText="1"/>
      <protection locked="0"/>
    </xf>
    <xf numFmtId="195" fontId="56" fillId="41" borderId="10" xfId="58" applyNumberFormat="1" applyFont="1" applyFill="1" applyBorder="1" applyAlignment="1" applyProtection="1">
      <alignment horizontal="center" vertical="center" wrapText="1"/>
      <protection/>
    </xf>
    <xf numFmtId="196" fontId="69" fillId="0" borderId="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center" vertical="center"/>
      <protection/>
    </xf>
    <xf numFmtId="0" fontId="3" fillId="43" borderId="10" xfId="0" applyFont="1" applyFill="1" applyBorder="1" applyAlignment="1" applyProtection="1">
      <alignment horizontal="left" vertical="center" wrapText="1"/>
      <protection/>
    </xf>
    <xf numFmtId="9" fontId="3" fillId="43" borderId="10" xfId="0" applyNumberFormat="1" applyFont="1" applyFill="1" applyBorder="1" applyAlignment="1" applyProtection="1">
      <alignment horizontal="center" vertical="center" wrapText="1"/>
      <protection/>
    </xf>
    <xf numFmtId="9" fontId="75" fillId="43" borderId="10" xfId="0" applyNumberFormat="1" applyFont="1" applyFill="1" applyBorder="1" applyAlignment="1" applyProtection="1">
      <alignment horizontal="center" vertical="center" wrapText="1"/>
      <protection/>
    </xf>
    <xf numFmtId="3" fontId="3" fillId="43" borderId="10" xfId="0" applyNumberFormat="1" applyFont="1" applyFill="1" applyBorder="1" applyAlignment="1" applyProtection="1">
      <alignment horizontal="center" vertical="center"/>
      <protection/>
    </xf>
    <xf numFmtId="3" fontId="76" fillId="44" borderId="10"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200" fontId="0" fillId="0" borderId="0" xfId="0" applyNumberFormat="1" applyAlignment="1" applyProtection="1">
      <alignment vertical="center"/>
      <protection/>
    </xf>
    <xf numFmtId="200" fontId="86" fillId="0" borderId="0" xfId="50" applyNumberFormat="1" applyFont="1" applyAlignment="1" applyProtection="1">
      <alignment vertical="center"/>
      <protection/>
    </xf>
    <xf numFmtId="200" fontId="0" fillId="0" borderId="0" xfId="0" applyNumberFormat="1" applyFill="1" applyAlignment="1" applyProtection="1">
      <alignment vertical="center"/>
      <protection/>
    </xf>
    <xf numFmtId="204" fontId="0" fillId="0" borderId="0" xfId="0" applyNumberFormat="1" applyAlignment="1" applyProtection="1">
      <alignment vertical="center"/>
      <protection/>
    </xf>
    <xf numFmtId="208" fontId="0" fillId="0" borderId="0" xfId="0" applyNumberFormat="1" applyAlignment="1" applyProtection="1">
      <alignment vertical="center"/>
      <protection/>
    </xf>
    <xf numFmtId="3" fontId="0" fillId="0" borderId="0" xfId="0" applyNumberFormat="1" applyAlignment="1" applyProtection="1">
      <alignment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Actividades" xfId="55"/>
    <cellStyle name="Notas"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8">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161925</xdr:rowOff>
    </xdr:to>
    <xdr:pic>
      <xdr:nvPicPr>
        <xdr:cNvPr id="1" name="3 Imagen" descr="SIG.jpg"/>
        <xdr:cNvPicPr preferRelativeResize="1">
          <a:picLocks noChangeAspect="1"/>
        </xdr:cNvPicPr>
      </xdr:nvPicPr>
      <xdr:blipFill>
        <a:blip r:embed="rId1"/>
        <a:stretch>
          <a:fillRect/>
        </a:stretch>
      </xdr:blipFill>
      <xdr:spPr>
        <a:xfrm>
          <a:off x="10106025" y="371475"/>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104775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57150</xdr:rowOff>
    </xdr:to>
    <xdr:pic>
      <xdr:nvPicPr>
        <xdr:cNvPr id="3" name="3 Imagen" descr="SIG.jpg"/>
        <xdr:cNvPicPr preferRelativeResize="1">
          <a:picLocks noChangeAspect="1"/>
        </xdr:cNvPicPr>
      </xdr:nvPicPr>
      <xdr:blipFill>
        <a:blip r:embed="rId1"/>
        <a:stretch>
          <a:fillRect/>
        </a:stretch>
      </xdr:blipFill>
      <xdr:spPr>
        <a:xfrm>
          <a:off x="36423600"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95250</xdr:rowOff>
    </xdr:to>
    <xdr:pic>
      <xdr:nvPicPr>
        <xdr:cNvPr id="4" name="6 Imagen" descr="Escudo Bogotá_sds_color.jpg"/>
        <xdr:cNvPicPr preferRelativeResize="1">
          <a:picLocks noChangeAspect="1"/>
        </xdr:cNvPicPr>
      </xdr:nvPicPr>
      <xdr:blipFill>
        <a:blip r:embed="rId2"/>
        <a:stretch>
          <a:fillRect/>
        </a:stretch>
      </xdr:blipFill>
      <xdr:spPr>
        <a:xfrm>
          <a:off x="14601825" y="38100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304800</xdr:colOff>
      <xdr:row>0</xdr:row>
      <xdr:rowOff>142875</xdr:rowOff>
    </xdr:from>
    <xdr:to>
      <xdr:col>14</xdr:col>
      <xdr:colOff>266700</xdr:colOff>
      <xdr:row>6</xdr:row>
      <xdr:rowOff>0</xdr:rowOff>
    </xdr:to>
    <xdr:pic>
      <xdr:nvPicPr>
        <xdr:cNvPr id="1" name="3 Imagen" descr="SIG.jpg"/>
        <xdr:cNvPicPr preferRelativeResize="1">
          <a:picLocks noChangeAspect="1"/>
        </xdr:cNvPicPr>
      </xdr:nvPicPr>
      <xdr:blipFill>
        <a:blip r:embed="rId1"/>
        <a:stretch>
          <a:fillRect/>
        </a:stretch>
      </xdr:blipFill>
      <xdr:spPr>
        <a:xfrm>
          <a:off x="6848475" y="142875"/>
          <a:ext cx="1000125" cy="771525"/>
        </a:xfrm>
        <a:prstGeom prst="rect">
          <a:avLst/>
        </a:prstGeom>
        <a:noFill/>
        <a:ln w="9525" cmpd="sng">
          <a:noFill/>
        </a:ln>
      </xdr:spPr>
    </xdr:pic>
    <xdr:clientData/>
  </xdr:twoCellAnchor>
  <xdr:twoCellAnchor editAs="oneCell">
    <xdr:from>
      <xdr:col>0</xdr:col>
      <xdr:colOff>428625</xdr:colOff>
      <xdr:row>1</xdr:row>
      <xdr:rowOff>38100</xdr:rowOff>
    </xdr:from>
    <xdr:to>
      <xdr:col>3</xdr:col>
      <xdr:colOff>371475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48</xdr:col>
      <xdr:colOff>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35871150" y="161925"/>
          <a:ext cx="0" cy="1019175"/>
        </a:xfrm>
        <a:prstGeom prst="rect">
          <a:avLst/>
        </a:prstGeom>
        <a:noFill/>
        <a:ln w="9525" cmpd="sng">
          <a:noFill/>
        </a:ln>
      </xdr:spPr>
    </xdr:pic>
    <xdr:clientData/>
  </xdr:twoCellAnchor>
  <xdr:twoCellAnchor editAs="oneCell">
    <xdr:from>
      <xdr:col>15</xdr:col>
      <xdr:colOff>857250</xdr:colOff>
      <xdr:row>1</xdr:row>
      <xdr:rowOff>0</xdr:rowOff>
    </xdr:from>
    <xdr:to>
      <xdr:col>16</xdr:col>
      <xdr:colOff>676275</xdr:colOff>
      <xdr:row>7</xdr:row>
      <xdr:rowOff>66675</xdr:rowOff>
    </xdr:to>
    <xdr:pic>
      <xdr:nvPicPr>
        <xdr:cNvPr id="4" name="12 Imagen" descr="Escudo Bogotá_sds_color.jpg"/>
        <xdr:cNvPicPr preferRelativeResize="1">
          <a:picLocks noChangeAspect="1"/>
        </xdr:cNvPicPr>
      </xdr:nvPicPr>
      <xdr:blipFill>
        <a:blip r:embed="rId2"/>
        <a:stretch>
          <a:fillRect/>
        </a:stretch>
      </xdr:blipFill>
      <xdr:spPr>
        <a:xfrm>
          <a:off x="9705975" y="152400"/>
          <a:ext cx="923925" cy="981075"/>
        </a:xfrm>
        <a:prstGeom prst="rect">
          <a:avLst/>
        </a:prstGeom>
        <a:noFill/>
        <a:ln w="9525" cmpd="sng">
          <a:noFill/>
        </a:ln>
      </xdr:spPr>
    </xdr:pic>
    <xdr:clientData/>
  </xdr:twoCellAnchor>
  <xdr:twoCellAnchor editAs="oneCell">
    <xdr:from>
      <xdr:col>17</xdr:col>
      <xdr:colOff>571500</xdr:colOff>
      <xdr:row>1</xdr:row>
      <xdr:rowOff>133350</xdr:rowOff>
    </xdr:from>
    <xdr:to>
      <xdr:col>18</xdr:col>
      <xdr:colOff>495300</xdr:colOff>
      <xdr:row>6</xdr:row>
      <xdr:rowOff>123825</xdr:rowOff>
    </xdr:to>
    <xdr:pic>
      <xdr:nvPicPr>
        <xdr:cNvPr id="5" name="3 Imagen" descr="SIG.jpg"/>
        <xdr:cNvPicPr preferRelativeResize="1">
          <a:picLocks noChangeAspect="1"/>
        </xdr:cNvPicPr>
      </xdr:nvPicPr>
      <xdr:blipFill>
        <a:blip r:embed="rId1"/>
        <a:stretch>
          <a:fillRect/>
        </a:stretch>
      </xdr:blipFill>
      <xdr:spPr>
        <a:xfrm>
          <a:off x="11639550" y="285750"/>
          <a:ext cx="962025" cy="752475"/>
        </a:xfrm>
        <a:prstGeom prst="rect">
          <a:avLst/>
        </a:prstGeom>
        <a:noFill/>
        <a:ln w="9525" cmpd="sng">
          <a:noFill/>
        </a:ln>
      </xdr:spPr>
    </xdr:pic>
    <xdr:clientData/>
  </xdr:twoCellAnchor>
  <xdr:twoCellAnchor editAs="oneCell">
    <xdr:from>
      <xdr:col>18</xdr:col>
      <xdr:colOff>485775</xdr:colOff>
      <xdr:row>0</xdr:row>
      <xdr:rowOff>28575</xdr:rowOff>
    </xdr:from>
    <xdr:to>
      <xdr:col>18</xdr:col>
      <xdr:colOff>1428750</xdr:colOff>
      <xdr:row>6</xdr:row>
      <xdr:rowOff>95250</xdr:rowOff>
    </xdr:to>
    <xdr:pic>
      <xdr:nvPicPr>
        <xdr:cNvPr id="6" name="15 Imagen" descr="Escudo Bogotá_sds_color.jpg"/>
        <xdr:cNvPicPr preferRelativeResize="1">
          <a:picLocks noChangeAspect="1"/>
        </xdr:cNvPicPr>
      </xdr:nvPicPr>
      <xdr:blipFill>
        <a:blip r:embed="rId2"/>
        <a:stretch>
          <a:fillRect/>
        </a:stretch>
      </xdr:blipFill>
      <xdr:spPr>
        <a:xfrm>
          <a:off x="12592050" y="28575"/>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86%20julio%202015%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78">
          <cell r="N78">
            <v>0</v>
          </cell>
          <cell r="O78">
            <v>0</v>
          </cell>
          <cell r="P78">
            <v>0</v>
          </cell>
          <cell r="Q78">
            <v>0</v>
          </cell>
          <cell r="R78">
            <v>3555200</v>
          </cell>
          <cell r="S78">
            <v>3555200</v>
          </cell>
        </row>
        <row r="94">
          <cell r="N94">
            <v>274847000</v>
          </cell>
          <cell r="O94">
            <v>245368000</v>
          </cell>
          <cell r="P94">
            <v>153941000</v>
          </cell>
          <cell r="Q94">
            <v>44125933</v>
          </cell>
          <cell r="R94">
            <v>34710467</v>
          </cell>
          <cell r="S94">
            <v>34710467</v>
          </cell>
        </row>
        <row r="110">
          <cell r="N110">
            <v>448463000</v>
          </cell>
          <cell r="O110">
            <v>495588000</v>
          </cell>
          <cell r="P110">
            <v>341362000</v>
          </cell>
          <cell r="Q110">
            <v>69031166</v>
          </cell>
          <cell r="R110">
            <v>62680400</v>
          </cell>
          <cell r="S110">
            <v>55305500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tabColor rgb="FF0070C0"/>
  </sheetPr>
  <dimension ref="A1:BB350"/>
  <sheetViews>
    <sheetView showGridLines="0" zoomScale="110" zoomScaleNormal="110" zoomScalePageLayoutView="0" workbookViewId="0" topLeftCell="H8">
      <selection activeCell="I26" sqref="I26:I41"/>
    </sheetView>
  </sheetViews>
  <sheetFormatPr defaultColWidth="11.421875" defaultRowHeight="14.25" customHeight="1"/>
  <cols>
    <col min="1" max="1" width="5.421875" style="6" hidden="1" customWidth="1"/>
    <col min="2" max="2" width="6.57421875" style="6" hidden="1" customWidth="1"/>
    <col min="3" max="3" width="7.00390625" style="6" hidden="1" customWidth="1"/>
    <col min="4" max="4" width="6.00390625" style="6" hidden="1" customWidth="1"/>
    <col min="5" max="5" width="6.8515625" style="6" hidden="1" customWidth="1"/>
    <col min="6" max="6" width="6.140625" style="6" hidden="1" customWidth="1"/>
    <col min="7" max="7" width="7.00390625" style="6" hidden="1" customWidth="1"/>
    <col min="8" max="8" width="9.28125" style="7" customWidth="1"/>
    <col min="9" max="9" width="40.7109375" style="7" customWidth="1"/>
    <col min="10" max="10" width="3.57421875" style="7" customWidth="1"/>
    <col min="11" max="11" width="2.7109375" style="7" customWidth="1"/>
    <col min="12" max="12" width="2.28125" style="7" customWidth="1"/>
    <col min="13" max="13" width="4.00390625" style="7" customWidth="1"/>
    <col min="14" max="14" width="17.140625" style="7" customWidth="1"/>
    <col min="15" max="15" width="8.8515625" style="7" customWidth="1"/>
    <col min="16" max="16" width="7.421875" style="7" customWidth="1"/>
    <col min="17" max="17" width="18.421875" style="6" customWidth="1"/>
    <col min="18" max="18" width="16.7109375" style="6" customWidth="1"/>
    <col min="19" max="19" width="18.7109375" style="6" customWidth="1"/>
    <col min="20" max="20" width="19.7109375" style="6" customWidth="1"/>
    <col min="21" max="22" width="16.8515625" style="6" customWidth="1"/>
    <col min="23" max="23" width="32.57421875" style="6" customWidth="1"/>
    <col min="24" max="24" width="29.421875" style="6" customWidth="1"/>
    <col min="25" max="25" width="28.28125" style="6" customWidth="1"/>
    <col min="26" max="26" width="24.8515625" style="6" customWidth="1"/>
    <col min="27" max="27" width="50.7109375" style="6" customWidth="1"/>
    <col min="28" max="28" width="35.28125" style="6" customWidth="1"/>
    <col min="29" max="44" width="10.7109375" style="6" customWidth="1"/>
    <col min="45" max="48" width="11.421875" style="6" customWidth="1"/>
    <col min="49" max="50" width="14.8515625" style="6" customWidth="1"/>
    <col min="51" max="51" width="14.421875" style="6" customWidth="1"/>
    <col min="52" max="52" width="18.00390625" style="6" customWidth="1"/>
    <col min="53" max="54" width="14.00390625" style="6" customWidth="1"/>
    <col min="55" max="57" width="11.421875" style="6" customWidth="1"/>
    <col min="58" max="75" width="11.421875" style="7" customWidth="1"/>
    <col min="76" max="16384" width="11.421875" style="6" customWidth="1"/>
  </cols>
  <sheetData>
    <row r="1" spans="1:44" s="177" customFormat="1" ht="14.25" customHeight="1">
      <c r="A1" s="161"/>
      <c r="B1" s="162"/>
      <c r="C1" s="162"/>
      <c r="D1" s="163"/>
      <c r="E1" s="164" t="s">
        <v>117</v>
      </c>
      <c r="F1" s="165"/>
      <c r="G1" s="165"/>
      <c r="H1" s="165"/>
      <c r="I1" s="165"/>
      <c r="J1" s="165"/>
      <c r="K1" s="165"/>
      <c r="L1" s="165"/>
      <c r="M1" s="165"/>
      <c r="N1" s="166"/>
      <c r="O1" s="167" t="s">
        <v>118</v>
      </c>
      <c r="P1" s="168"/>
      <c r="Q1" s="168"/>
      <c r="R1" s="169"/>
      <c r="S1" s="170"/>
      <c r="T1" s="171"/>
      <c r="U1" s="171"/>
      <c r="V1" s="172"/>
      <c r="W1" s="170"/>
      <c r="X1" s="171"/>
      <c r="Y1" s="173"/>
      <c r="Z1" s="174" t="s">
        <v>119</v>
      </c>
      <c r="AA1" s="175"/>
      <c r="AB1" s="175"/>
      <c r="AC1" s="175"/>
      <c r="AD1" s="175"/>
      <c r="AE1" s="175"/>
      <c r="AF1" s="175"/>
      <c r="AG1" s="175"/>
      <c r="AH1" s="175"/>
      <c r="AI1" s="175"/>
      <c r="AJ1" s="176"/>
      <c r="AK1" s="167" t="s">
        <v>118</v>
      </c>
      <c r="AL1" s="168"/>
      <c r="AM1" s="168"/>
      <c r="AN1" s="169"/>
      <c r="AO1" s="170"/>
      <c r="AP1" s="171"/>
      <c r="AQ1" s="171"/>
      <c r="AR1" s="172"/>
    </row>
    <row r="2" spans="1:44" s="177" customFormat="1" ht="14.25" customHeight="1">
      <c r="A2" s="178"/>
      <c r="B2" s="179"/>
      <c r="C2" s="179"/>
      <c r="D2" s="180"/>
      <c r="E2" s="181"/>
      <c r="F2" s="182"/>
      <c r="G2" s="182"/>
      <c r="H2" s="182"/>
      <c r="I2" s="182"/>
      <c r="J2" s="182"/>
      <c r="K2" s="182"/>
      <c r="L2" s="182"/>
      <c r="M2" s="182"/>
      <c r="N2" s="183"/>
      <c r="O2" s="184"/>
      <c r="P2" s="185"/>
      <c r="Q2" s="185"/>
      <c r="R2" s="186"/>
      <c r="S2" s="187"/>
      <c r="T2" s="188"/>
      <c r="U2" s="188"/>
      <c r="V2" s="189"/>
      <c r="W2" s="187"/>
      <c r="X2" s="188"/>
      <c r="Y2" s="190"/>
      <c r="Z2" s="191"/>
      <c r="AA2" s="192"/>
      <c r="AB2" s="192"/>
      <c r="AC2" s="192"/>
      <c r="AD2" s="192"/>
      <c r="AE2" s="192"/>
      <c r="AF2" s="192"/>
      <c r="AG2" s="192"/>
      <c r="AH2" s="192"/>
      <c r="AI2" s="192"/>
      <c r="AJ2" s="193"/>
      <c r="AK2" s="184"/>
      <c r="AL2" s="185"/>
      <c r="AM2" s="185"/>
      <c r="AN2" s="186"/>
      <c r="AO2" s="187"/>
      <c r="AP2" s="188"/>
      <c r="AQ2" s="188"/>
      <c r="AR2" s="189"/>
    </row>
    <row r="3" spans="1:44" s="177" customFormat="1" ht="14.25" customHeight="1">
      <c r="A3" s="178"/>
      <c r="B3" s="179"/>
      <c r="C3" s="179"/>
      <c r="D3" s="180"/>
      <c r="E3" s="181"/>
      <c r="F3" s="182"/>
      <c r="G3" s="182"/>
      <c r="H3" s="182"/>
      <c r="I3" s="182"/>
      <c r="J3" s="182"/>
      <c r="K3" s="182"/>
      <c r="L3" s="182"/>
      <c r="M3" s="182"/>
      <c r="N3" s="183"/>
      <c r="O3" s="184"/>
      <c r="P3" s="185"/>
      <c r="Q3" s="185"/>
      <c r="R3" s="186"/>
      <c r="S3" s="187"/>
      <c r="T3" s="188"/>
      <c r="U3" s="188"/>
      <c r="V3" s="189"/>
      <c r="W3" s="187"/>
      <c r="X3" s="188"/>
      <c r="Y3" s="190"/>
      <c r="Z3" s="191"/>
      <c r="AA3" s="192"/>
      <c r="AB3" s="192"/>
      <c r="AC3" s="192"/>
      <c r="AD3" s="192"/>
      <c r="AE3" s="192"/>
      <c r="AF3" s="192"/>
      <c r="AG3" s="192"/>
      <c r="AH3" s="192"/>
      <c r="AI3" s="192"/>
      <c r="AJ3" s="193"/>
      <c r="AK3" s="184"/>
      <c r="AL3" s="185"/>
      <c r="AM3" s="185"/>
      <c r="AN3" s="186"/>
      <c r="AO3" s="187"/>
      <c r="AP3" s="188"/>
      <c r="AQ3" s="188"/>
      <c r="AR3" s="189"/>
    </row>
    <row r="4" spans="1:44" s="177" customFormat="1" ht="14.25" customHeight="1">
      <c r="A4" s="178"/>
      <c r="B4" s="179"/>
      <c r="C4" s="179"/>
      <c r="D4" s="180"/>
      <c r="E4" s="181"/>
      <c r="F4" s="182"/>
      <c r="G4" s="182"/>
      <c r="H4" s="182"/>
      <c r="I4" s="182"/>
      <c r="J4" s="182"/>
      <c r="K4" s="182"/>
      <c r="L4" s="182"/>
      <c r="M4" s="182"/>
      <c r="N4" s="183"/>
      <c r="O4" s="184"/>
      <c r="P4" s="185"/>
      <c r="Q4" s="185"/>
      <c r="R4" s="186"/>
      <c r="S4" s="187"/>
      <c r="T4" s="188"/>
      <c r="U4" s="188"/>
      <c r="V4" s="189"/>
      <c r="W4" s="187"/>
      <c r="X4" s="188"/>
      <c r="Y4" s="190"/>
      <c r="Z4" s="191"/>
      <c r="AA4" s="192"/>
      <c r="AB4" s="192"/>
      <c r="AC4" s="192"/>
      <c r="AD4" s="192"/>
      <c r="AE4" s="192"/>
      <c r="AF4" s="192"/>
      <c r="AG4" s="192"/>
      <c r="AH4" s="192"/>
      <c r="AI4" s="192"/>
      <c r="AJ4" s="193"/>
      <c r="AK4" s="184"/>
      <c r="AL4" s="185"/>
      <c r="AM4" s="185"/>
      <c r="AN4" s="186"/>
      <c r="AO4" s="187"/>
      <c r="AP4" s="188"/>
      <c r="AQ4" s="188"/>
      <c r="AR4" s="189"/>
    </row>
    <row r="5" spans="1:44" s="177" customFormat="1" ht="14.25" customHeight="1">
      <c r="A5" s="178"/>
      <c r="B5" s="179"/>
      <c r="C5" s="179"/>
      <c r="D5" s="180"/>
      <c r="E5" s="181"/>
      <c r="F5" s="182"/>
      <c r="G5" s="182"/>
      <c r="H5" s="182"/>
      <c r="I5" s="182"/>
      <c r="J5" s="182"/>
      <c r="K5" s="182"/>
      <c r="L5" s="182"/>
      <c r="M5" s="182"/>
      <c r="N5" s="183"/>
      <c r="O5" s="184"/>
      <c r="P5" s="185"/>
      <c r="Q5" s="185"/>
      <c r="R5" s="186"/>
      <c r="S5" s="187"/>
      <c r="T5" s="188"/>
      <c r="U5" s="188"/>
      <c r="V5" s="189"/>
      <c r="W5" s="187"/>
      <c r="X5" s="188"/>
      <c r="Y5" s="190"/>
      <c r="Z5" s="191"/>
      <c r="AA5" s="192"/>
      <c r="AB5" s="192"/>
      <c r="AC5" s="192"/>
      <c r="AD5" s="192"/>
      <c r="AE5" s="192"/>
      <c r="AF5" s="192"/>
      <c r="AG5" s="192"/>
      <c r="AH5" s="192"/>
      <c r="AI5" s="192"/>
      <c r="AJ5" s="193"/>
      <c r="AK5" s="184"/>
      <c r="AL5" s="185"/>
      <c r="AM5" s="185"/>
      <c r="AN5" s="186"/>
      <c r="AO5" s="187"/>
      <c r="AP5" s="188"/>
      <c r="AQ5" s="188"/>
      <c r="AR5" s="189"/>
    </row>
    <row r="6" spans="1:44" s="177" customFormat="1" ht="14.25" customHeight="1">
      <c r="A6" s="178"/>
      <c r="B6" s="179"/>
      <c r="C6" s="179"/>
      <c r="D6" s="180"/>
      <c r="E6" s="181"/>
      <c r="F6" s="182"/>
      <c r="G6" s="182"/>
      <c r="H6" s="182"/>
      <c r="I6" s="182"/>
      <c r="J6" s="182"/>
      <c r="K6" s="182"/>
      <c r="L6" s="182"/>
      <c r="M6" s="182"/>
      <c r="N6" s="183"/>
      <c r="O6" s="184"/>
      <c r="P6" s="185"/>
      <c r="Q6" s="185"/>
      <c r="R6" s="186"/>
      <c r="S6" s="187"/>
      <c r="T6" s="188"/>
      <c r="U6" s="188"/>
      <c r="V6" s="189"/>
      <c r="W6" s="187"/>
      <c r="X6" s="188"/>
      <c r="Y6" s="190"/>
      <c r="Z6" s="191"/>
      <c r="AA6" s="192"/>
      <c r="AB6" s="192"/>
      <c r="AC6" s="192"/>
      <c r="AD6" s="192"/>
      <c r="AE6" s="192"/>
      <c r="AF6" s="192"/>
      <c r="AG6" s="192"/>
      <c r="AH6" s="192"/>
      <c r="AI6" s="192"/>
      <c r="AJ6" s="193"/>
      <c r="AK6" s="184"/>
      <c r="AL6" s="185"/>
      <c r="AM6" s="185"/>
      <c r="AN6" s="186"/>
      <c r="AO6" s="187"/>
      <c r="AP6" s="188"/>
      <c r="AQ6" s="188"/>
      <c r="AR6" s="189"/>
    </row>
    <row r="7" spans="1:44" s="177" customFormat="1" ht="14.25" customHeight="1">
      <c r="A7" s="178"/>
      <c r="B7" s="179"/>
      <c r="C7" s="179"/>
      <c r="D7" s="180"/>
      <c r="E7" s="181"/>
      <c r="F7" s="182"/>
      <c r="G7" s="182"/>
      <c r="H7" s="182"/>
      <c r="I7" s="182"/>
      <c r="J7" s="182"/>
      <c r="K7" s="182"/>
      <c r="L7" s="182"/>
      <c r="M7" s="182"/>
      <c r="N7" s="183"/>
      <c r="O7" s="184"/>
      <c r="P7" s="185"/>
      <c r="Q7" s="185"/>
      <c r="R7" s="186"/>
      <c r="S7" s="187"/>
      <c r="T7" s="188"/>
      <c r="U7" s="188"/>
      <c r="V7" s="189"/>
      <c r="W7" s="187"/>
      <c r="X7" s="188"/>
      <c r="Y7" s="190"/>
      <c r="Z7" s="191"/>
      <c r="AA7" s="192"/>
      <c r="AB7" s="192"/>
      <c r="AC7" s="192"/>
      <c r="AD7" s="192"/>
      <c r="AE7" s="192"/>
      <c r="AF7" s="192"/>
      <c r="AG7" s="192"/>
      <c r="AH7" s="192"/>
      <c r="AI7" s="192"/>
      <c r="AJ7" s="193"/>
      <c r="AK7" s="184"/>
      <c r="AL7" s="185"/>
      <c r="AM7" s="185"/>
      <c r="AN7" s="186"/>
      <c r="AO7" s="187"/>
      <c r="AP7" s="188"/>
      <c r="AQ7" s="188"/>
      <c r="AR7" s="189"/>
    </row>
    <row r="8" spans="1:44" s="177" customFormat="1" ht="14.25" customHeight="1" thickBot="1">
      <c r="A8" s="194"/>
      <c r="B8" s="195"/>
      <c r="C8" s="195"/>
      <c r="D8" s="196"/>
      <c r="E8" s="197"/>
      <c r="F8" s="198"/>
      <c r="G8" s="198"/>
      <c r="H8" s="198"/>
      <c r="I8" s="198"/>
      <c r="J8" s="198"/>
      <c r="K8" s="198"/>
      <c r="L8" s="198"/>
      <c r="M8" s="198"/>
      <c r="N8" s="199"/>
      <c r="O8" s="200"/>
      <c r="P8" s="201"/>
      <c r="Q8" s="201"/>
      <c r="R8" s="202"/>
      <c r="S8" s="203"/>
      <c r="T8" s="204"/>
      <c r="U8" s="204"/>
      <c r="V8" s="205"/>
      <c r="W8" s="203"/>
      <c r="X8" s="204"/>
      <c r="Y8" s="206"/>
      <c r="Z8" s="207"/>
      <c r="AA8" s="208"/>
      <c r="AB8" s="208"/>
      <c r="AC8" s="208"/>
      <c r="AD8" s="208"/>
      <c r="AE8" s="208"/>
      <c r="AF8" s="208"/>
      <c r="AG8" s="208"/>
      <c r="AH8" s="208"/>
      <c r="AI8" s="208"/>
      <c r="AJ8" s="209"/>
      <c r="AK8" s="200"/>
      <c r="AL8" s="201"/>
      <c r="AM8" s="201"/>
      <c r="AN8" s="202"/>
      <c r="AO8" s="203"/>
      <c r="AP8" s="204"/>
      <c r="AQ8" s="204"/>
      <c r="AR8" s="205"/>
    </row>
    <row r="10" spans="9:10" ht="14.25" customHeight="1">
      <c r="I10" s="210" t="s">
        <v>120</v>
      </c>
      <c r="J10" s="210"/>
    </row>
    <row r="11" spans="9:10" ht="14.25" customHeight="1">
      <c r="I11" s="210" t="s">
        <v>121</v>
      </c>
      <c r="J11" s="210"/>
    </row>
    <row r="12" spans="9:10" ht="14.25" customHeight="1">
      <c r="I12" s="210" t="s">
        <v>122</v>
      </c>
      <c r="J12" s="210"/>
    </row>
    <row r="13" spans="9:10" ht="14.25" customHeight="1">
      <c r="I13" s="210" t="s">
        <v>123</v>
      </c>
      <c r="J13" s="210"/>
    </row>
    <row r="14" spans="7:54" ht="14.25" customHeight="1">
      <c r="G14" s="211" t="s">
        <v>124</v>
      </c>
      <c r="H14" s="212" t="s">
        <v>125</v>
      </c>
      <c r="I14" s="212" t="s">
        <v>23</v>
      </c>
      <c r="J14" s="160" t="s">
        <v>19</v>
      </c>
      <c r="K14" s="138"/>
      <c r="L14" s="139"/>
      <c r="M14" s="117"/>
      <c r="N14" s="117"/>
      <c r="O14" s="140" t="s">
        <v>0</v>
      </c>
      <c r="P14" s="140"/>
      <c r="Q14" s="140" t="s">
        <v>126</v>
      </c>
      <c r="R14" s="140"/>
      <c r="S14" s="140" t="s">
        <v>4</v>
      </c>
      <c r="T14" s="140"/>
      <c r="U14" s="140" t="s">
        <v>5</v>
      </c>
      <c r="V14" s="140"/>
      <c r="W14" s="143" t="s">
        <v>12</v>
      </c>
      <c r="X14" s="143" t="s">
        <v>13</v>
      </c>
      <c r="Y14" s="143" t="s">
        <v>14</v>
      </c>
      <c r="Z14" s="143" t="s">
        <v>127</v>
      </c>
      <c r="AA14" s="143" t="s">
        <v>11</v>
      </c>
      <c r="AB14" s="143" t="s">
        <v>128</v>
      </c>
      <c r="AC14" s="143" t="s">
        <v>129</v>
      </c>
      <c r="AD14" s="143"/>
      <c r="AE14" s="143" t="s">
        <v>130</v>
      </c>
      <c r="AF14" s="143"/>
      <c r="AG14" s="143" t="s">
        <v>131</v>
      </c>
      <c r="AH14" s="143"/>
      <c r="AI14" s="143" t="s">
        <v>132</v>
      </c>
      <c r="AJ14" s="143"/>
      <c r="AK14" s="143" t="s">
        <v>133</v>
      </c>
      <c r="AL14" s="143"/>
      <c r="AM14" s="143" t="s">
        <v>134</v>
      </c>
      <c r="AN14" s="143"/>
      <c r="AO14" s="143" t="s">
        <v>135</v>
      </c>
      <c r="AP14" s="143"/>
      <c r="AQ14" s="143" t="s">
        <v>136</v>
      </c>
      <c r="AR14" s="143"/>
      <c r="AW14" s="154" t="s">
        <v>126</v>
      </c>
      <c r="AX14" s="154"/>
      <c r="AY14" s="154" t="s">
        <v>4</v>
      </c>
      <c r="AZ14" s="154"/>
      <c r="BA14" s="154" t="s">
        <v>5</v>
      </c>
      <c r="BB14" s="154"/>
    </row>
    <row r="15" spans="1:54" ht="46.5" customHeight="1">
      <c r="A15" s="1" t="s">
        <v>137</v>
      </c>
      <c r="B15" s="1" t="s">
        <v>125</v>
      </c>
      <c r="C15" s="1" t="s">
        <v>138</v>
      </c>
      <c r="D15" s="1" t="s">
        <v>139</v>
      </c>
      <c r="E15" s="1" t="s">
        <v>140</v>
      </c>
      <c r="F15" s="1" t="s">
        <v>141</v>
      </c>
      <c r="G15" s="213"/>
      <c r="H15" s="212"/>
      <c r="I15" s="212"/>
      <c r="J15" s="5" t="s">
        <v>16</v>
      </c>
      <c r="K15" s="5" t="s">
        <v>17</v>
      </c>
      <c r="L15" s="5" t="s">
        <v>18</v>
      </c>
      <c r="M15" s="5" t="s">
        <v>20</v>
      </c>
      <c r="N15" s="5" t="s">
        <v>21</v>
      </c>
      <c r="O15" s="4" t="s">
        <v>59</v>
      </c>
      <c r="P15" s="4" t="s">
        <v>142</v>
      </c>
      <c r="Q15" s="4" t="s">
        <v>6</v>
      </c>
      <c r="R15" s="4" t="s">
        <v>7</v>
      </c>
      <c r="S15" s="4" t="s">
        <v>8</v>
      </c>
      <c r="T15" s="4" t="s">
        <v>9</v>
      </c>
      <c r="U15" s="4" t="s">
        <v>1</v>
      </c>
      <c r="V15" s="4" t="s">
        <v>9</v>
      </c>
      <c r="W15" s="143"/>
      <c r="X15" s="143"/>
      <c r="Y15" s="143"/>
      <c r="Z15" s="143"/>
      <c r="AA15" s="143"/>
      <c r="AB15" s="143"/>
      <c r="AC15" s="4" t="s">
        <v>143</v>
      </c>
      <c r="AD15" s="4" t="s">
        <v>144</v>
      </c>
      <c r="AE15" s="4" t="s">
        <v>143</v>
      </c>
      <c r="AF15" s="4" t="s">
        <v>144</v>
      </c>
      <c r="AG15" s="4" t="s">
        <v>143</v>
      </c>
      <c r="AH15" s="4" t="s">
        <v>144</v>
      </c>
      <c r="AI15" s="4" t="s">
        <v>143</v>
      </c>
      <c r="AJ15" s="4" t="s">
        <v>144</v>
      </c>
      <c r="AK15" s="4" t="s">
        <v>143</v>
      </c>
      <c r="AL15" s="4" t="s">
        <v>144</v>
      </c>
      <c r="AM15" s="4" t="s">
        <v>143</v>
      </c>
      <c r="AN15" s="4" t="s">
        <v>144</v>
      </c>
      <c r="AO15" s="4" t="s">
        <v>143</v>
      </c>
      <c r="AP15" s="4" t="s">
        <v>144</v>
      </c>
      <c r="AQ15" s="4" t="s">
        <v>143</v>
      </c>
      <c r="AR15" s="4" t="s">
        <v>144</v>
      </c>
      <c r="AW15" s="2" t="s">
        <v>6</v>
      </c>
      <c r="AX15" s="2" t="s">
        <v>7</v>
      </c>
      <c r="AY15" s="2" t="s">
        <v>8</v>
      </c>
      <c r="AZ15" s="2" t="s">
        <v>9</v>
      </c>
      <c r="BA15" s="2" t="s">
        <v>1</v>
      </c>
      <c r="BB15" s="2" t="s">
        <v>9</v>
      </c>
    </row>
    <row r="16" spans="1:54" s="234" customFormat="1" ht="28.5" customHeight="1" hidden="1">
      <c r="A16" s="227"/>
      <c r="B16" s="227"/>
      <c r="C16" s="227"/>
      <c r="D16" s="227"/>
      <c r="E16" s="227"/>
      <c r="F16" s="227"/>
      <c r="G16" s="228"/>
      <c r="H16" s="221"/>
      <c r="I16" s="222"/>
      <c r="J16" s="223"/>
      <c r="K16" s="223"/>
      <c r="L16" s="257"/>
      <c r="M16" s="254"/>
      <c r="N16" s="264"/>
      <c r="O16" s="265"/>
      <c r="P16" s="266"/>
      <c r="Q16" s="225"/>
      <c r="R16" s="225"/>
      <c r="S16" s="225"/>
      <c r="T16" s="225"/>
      <c r="U16" s="225"/>
      <c r="V16" s="225"/>
      <c r="W16" s="259"/>
      <c r="X16" s="260"/>
      <c r="Y16" s="261"/>
      <c r="Z16" s="226"/>
      <c r="AA16" s="262"/>
      <c r="AB16" s="238"/>
      <c r="AC16" s="230"/>
      <c r="AD16" s="230"/>
      <c r="AE16" s="230"/>
      <c r="AF16" s="230"/>
      <c r="AG16" s="230"/>
      <c r="AH16" s="230"/>
      <c r="AI16" s="230"/>
      <c r="AJ16" s="230"/>
      <c r="AK16" s="230"/>
      <c r="AL16" s="230"/>
      <c r="AM16" s="230"/>
      <c r="AN16" s="230"/>
      <c r="AO16" s="230"/>
      <c r="AP16" s="230"/>
      <c r="AQ16" s="231"/>
      <c r="AR16" s="232"/>
      <c r="AW16" s="263"/>
      <c r="AX16" s="263"/>
      <c r="AY16" s="263"/>
      <c r="AZ16" s="263"/>
      <c r="BA16" s="263"/>
      <c r="BB16" s="263"/>
    </row>
    <row r="17" spans="1:54" s="234" customFormat="1" ht="14.25" customHeight="1" hidden="1">
      <c r="A17" s="227"/>
      <c r="B17" s="227"/>
      <c r="C17" s="227"/>
      <c r="D17" s="227"/>
      <c r="E17" s="227"/>
      <c r="F17" s="227"/>
      <c r="G17" s="228"/>
      <c r="H17" s="221"/>
      <c r="I17" s="222"/>
      <c r="J17" s="223"/>
      <c r="K17" s="223"/>
      <c r="L17" s="257"/>
      <c r="M17" s="254"/>
      <c r="N17" s="264"/>
      <c r="O17" s="265"/>
      <c r="P17" s="266"/>
      <c r="Q17" s="225"/>
      <c r="R17" s="225"/>
      <c r="S17" s="225"/>
      <c r="T17" s="225"/>
      <c r="U17" s="225"/>
      <c r="V17" s="225"/>
      <c r="W17" s="259"/>
      <c r="X17" s="260"/>
      <c r="Y17" s="261"/>
      <c r="Z17" s="226"/>
      <c r="AA17" s="262"/>
      <c r="AB17" s="238"/>
      <c r="AC17" s="230"/>
      <c r="AD17" s="230"/>
      <c r="AE17" s="230"/>
      <c r="AF17" s="230"/>
      <c r="AG17" s="230"/>
      <c r="AH17" s="230"/>
      <c r="AI17" s="230"/>
      <c r="AJ17" s="230"/>
      <c r="AK17" s="230"/>
      <c r="AL17" s="230"/>
      <c r="AM17" s="230"/>
      <c r="AN17" s="230"/>
      <c r="AO17" s="230"/>
      <c r="AP17" s="230"/>
      <c r="AQ17" s="231"/>
      <c r="AR17" s="232"/>
      <c r="AW17" s="263"/>
      <c r="AX17" s="263"/>
      <c r="AY17" s="263"/>
      <c r="AZ17" s="263"/>
      <c r="BA17" s="263"/>
      <c r="BB17" s="263"/>
    </row>
    <row r="18" spans="1:54" s="234" customFormat="1" ht="14.25" customHeight="1" hidden="1">
      <c r="A18" s="227"/>
      <c r="B18" s="227"/>
      <c r="C18" s="227"/>
      <c r="D18" s="227"/>
      <c r="E18" s="227"/>
      <c r="F18" s="227"/>
      <c r="G18" s="228"/>
      <c r="H18" s="221"/>
      <c r="I18" s="222"/>
      <c r="J18" s="223"/>
      <c r="K18" s="223"/>
      <c r="L18" s="257"/>
      <c r="M18" s="254"/>
      <c r="N18" s="264"/>
      <c r="O18" s="265"/>
      <c r="P18" s="266"/>
      <c r="Q18" s="225"/>
      <c r="R18" s="225"/>
      <c r="S18" s="225"/>
      <c r="T18" s="225"/>
      <c r="U18" s="225"/>
      <c r="V18" s="225"/>
      <c r="W18" s="259"/>
      <c r="X18" s="260"/>
      <c r="Y18" s="261"/>
      <c r="Z18" s="226"/>
      <c r="AA18" s="262"/>
      <c r="AB18" s="238"/>
      <c r="AC18" s="230"/>
      <c r="AD18" s="230"/>
      <c r="AE18" s="230"/>
      <c r="AF18" s="230"/>
      <c r="AG18" s="230"/>
      <c r="AH18" s="230"/>
      <c r="AI18" s="230"/>
      <c r="AJ18" s="230"/>
      <c r="AK18" s="230"/>
      <c r="AL18" s="230"/>
      <c r="AM18" s="230"/>
      <c r="AN18" s="230"/>
      <c r="AO18" s="230"/>
      <c r="AP18" s="230"/>
      <c r="AQ18" s="231"/>
      <c r="AR18" s="232"/>
      <c r="AW18" s="263"/>
      <c r="AX18" s="263"/>
      <c r="AY18" s="263"/>
      <c r="AZ18" s="263"/>
      <c r="BA18" s="263"/>
      <c r="BB18" s="263"/>
    </row>
    <row r="19" spans="1:54" s="234" customFormat="1" ht="0.75" customHeight="1" thickBot="1">
      <c r="A19" s="227"/>
      <c r="B19" s="227"/>
      <c r="C19" s="227"/>
      <c r="D19" s="227"/>
      <c r="E19" s="227"/>
      <c r="F19" s="227"/>
      <c r="G19" s="228"/>
      <c r="H19" s="221"/>
      <c r="I19" s="222"/>
      <c r="J19" s="223"/>
      <c r="K19" s="223"/>
      <c r="L19" s="257"/>
      <c r="M19" s="254"/>
      <c r="N19" s="264"/>
      <c r="O19" s="265"/>
      <c r="P19" s="266"/>
      <c r="Q19" s="225"/>
      <c r="R19" s="225"/>
      <c r="S19" s="225"/>
      <c r="T19" s="225"/>
      <c r="U19" s="225"/>
      <c r="V19" s="225"/>
      <c r="W19" s="259"/>
      <c r="X19" s="260"/>
      <c r="Y19" s="261"/>
      <c r="Z19" s="226"/>
      <c r="AA19" s="262"/>
      <c r="AB19" s="238"/>
      <c r="AC19" s="230"/>
      <c r="AD19" s="230"/>
      <c r="AE19" s="230"/>
      <c r="AF19" s="230"/>
      <c r="AG19" s="230"/>
      <c r="AH19" s="230"/>
      <c r="AI19" s="230"/>
      <c r="AJ19" s="230"/>
      <c r="AK19" s="230"/>
      <c r="AL19" s="230"/>
      <c r="AM19" s="230"/>
      <c r="AN19" s="230"/>
      <c r="AO19" s="230"/>
      <c r="AP19" s="230"/>
      <c r="AQ19" s="231"/>
      <c r="AR19" s="232"/>
      <c r="AW19" s="263"/>
      <c r="AX19" s="263"/>
      <c r="AY19" s="263"/>
      <c r="AZ19" s="263"/>
      <c r="BA19" s="263"/>
      <c r="BB19" s="263"/>
    </row>
    <row r="20" spans="1:54" s="234" customFormat="1" ht="7.5" customHeight="1" hidden="1" thickBot="1">
      <c r="A20" s="227"/>
      <c r="B20" s="227"/>
      <c r="C20" s="227"/>
      <c r="D20" s="227"/>
      <c r="E20" s="227"/>
      <c r="F20" s="227"/>
      <c r="G20" s="228"/>
      <c r="H20" s="221"/>
      <c r="I20" s="222"/>
      <c r="J20" s="223"/>
      <c r="K20" s="223"/>
      <c r="L20" s="257"/>
      <c r="M20" s="254"/>
      <c r="N20" s="264"/>
      <c r="O20" s="265"/>
      <c r="P20" s="266"/>
      <c r="Q20" s="225"/>
      <c r="R20" s="225"/>
      <c r="S20" s="225"/>
      <c r="T20" s="225"/>
      <c r="U20" s="225"/>
      <c r="V20" s="225"/>
      <c r="W20" s="259"/>
      <c r="X20" s="260"/>
      <c r="Y20" s="261"/>
      <c r="Z20" s="226"/>
      <c r="AA20" s="262"/>
      <c r="AB20" s="238"/>
      <c r="AC20" s="230"/>
      <c r="AD20" s="230"/>
      <c r="AE20" s="230"/>
      <c r="AF20" s="230"/>
      <c r="AG20" s="230"/>
      <c r="AH20" s="230"/>
      <c r="AI20" s="230"/>
      <c r="AJ20" s="230"/>
      <c r="AK20" s="230"/>
      <c r="AL20" s="230"/>
      <c r="AM20" s="230"/>
      <c r="AN20" s="230"/>
      <c r="AO20" s="230"/>
      <c r="AP20" s="230"/>
      <c r="AQ20" s="231"/>
      <c r="AR20" s="232"/>
      <c r="AW20" s="263"/>
      <c r="AX20" s="263"/>
      <c r="AY20" s="263"/>
      <c r="AZ20" s="263"/>
      <c r="BA20" s="263"/>
      <c r="BB20" s="263"/>
    </row>
    <row r="21" spans="1:54" s="234" customFormat="1" ht="14.25" customHeight="1" hidden="1" thickBot="1">
      <c r="A21" s="227"/>
      <c r="B21" s="227"/>
      <c r="C21" s="227"/>
      <c r="D21" s="227"/>
      <c r="E21" s="227"/>
      <c r="F21" s="227"/>
      <c r="G21" s="228"/>
      <c r="H21" s="221"/>
      <c r="I21" s="222"/>
      <c r="J21" s="223"/>
      <c r="K21" s="223"/>
      <c r="L21" s="257"/>
      <c r="M21" s="254"/>
      <c r="N21" s="264"/>
      <c r="O21" s="265"/>
      <c r="P21" s="266"/>
      <c r="Q21" s="225"/>
      <c r="R21" s="225"/>
      <c r="S21" s="225"/>
      <c r="T21" s="225"/>
      <c r="U21" s="225"/>
      <c r="V21" s="225"/>
      <c r="W21" s="259"/>
      <c r="X21" s="260"/>
      <c r="Y21" s="261"/>
      <c r="Z21" s="226"/>
      <c r="AA21" s="262"/>
      <c r="AB21" s="238"/>
      <c r="AC21" s="230"/>
      <c r="AD21" s="230"/>
      <c r="AE21" s="230"/>
      <c r="AF21" s="230"/>
      <c r="AG21" s="230"/>
      <c r="AH21" s="230"/>
      <c r="AI21" s="230"/>
      <c r="AJ21" s="230"/>
      <c r="AK21" s="230"/>
      <c r="AL21" s="230"/>
      <c r="AM21" s="230"/>
      <c r="AN21" s="230"/>
      <c r="AO21" s="230"/>
      <c r="AP21" s="230"/>
      <c r="AQ21" s="231"/>
      <c r="AR21" s="232"/>
      <c r="AW21" s="263"/>
      <c r="AX21" s="263"/>
      <c r="AY21" s="263"/>
      <c r="AZ21" s="263"/>
      <c r="BA21" s="263"/>
      <c r="BB21" s="263"/>
    </row>
    <row r="22" spans="1:54" s="234" customFormat="1" ht="14.25" customHeight="1" hidden="1" thickBot="1">
      <c r="A22" s="227"/>
      <c r="B22" s="227"/>
      <c r="C22" s="227"/>
      <c r="D22" s="227"/>
      <c r="E22" s="227"/>
      <c r="F22" s="227"/>
      <c r="G22" s="228"/>
      <c r="H22" s="221"/>
      <c r="I22" s="222"/>
      <c r="J22" s="223"/>
      <c r="K22" s="223"/>
      <c r="L22" s="257"/>
      <c r="M22" s="254"/>
      <c r="N22" s="264"/>
      <c r="O22" s="265"/>
      <c r="P22" s="266"/>
      <c r="Q22" s="225"/>
      <c r="R22" s="225"/>
      <c r="S22" s="225"/>
      <c r="T22" s="225"/>
      <c r="U22" s="225"/>
      <c r="V22" s="225"/>
      <c r="W22" s="259"/>
      <c r="X22" s="260"/>
      <c r="Y22" s="261"/>
      <c r="Z22" s="226"/>
      <c r="AA22" s="262"/>
      <c r="AB22" s="238"/>
      <c r="AC22" s="230"/>
      <c r="AD22" s="230"/>
      <c r="AE22" s="230"/>
      <c r="AF22" s="230"/>
      <c r="AG22" s="230"/>
      <c r="AH22" s="230"/>
      <c r="AI22" s="230"/>
      <c r="AJ22" s="230"/>
      <c r="AK22" s="230"/>
      <c r="AL22" s="230"/>
      <c r="AM22" s="230"/>
      <c r="AN22" s="230"/>
      <c r="AO22" s="230"/>
      <c r="AP22" s="230"/>
      <c r="AQ22" s="231"/>
      <c r="AR22" s="232"/>
      <c r="AW22" s="263"/>
      <c r="AX22" s="263"/>
      <c r="AY22" s="263"/>
      <c r="AZ22" s="263"/>
      <c r="BA22" s="263"/>
      <c r="BB22" s="263"/>
    </row>
    <row r="23" spans="1:54" s="234" customFormat="1" ht="14.25" customHeight="1" hidden="1" thickBot="1">
      <c r="A23" s="227"/>
      <c r="B23" s="227"/>
      <c r="C23" s="227"/>
      <c r="D23" s="227"/>
      <c r="E23" s="227"/>
      <c r="F23" s="227"/>
      <c r="G23" s="228"/>
      <c r="H23" s="221"/>
      <c r="I23" s="222"/>
      <c r="J23" s="223"/>
      <c r="K23" s="223"/>
      <c r="L23" s="257"/>
      <c r="M23" s="254"/>
      <c r="N23" s="264"/>
      <c r="O23" s="265"/>
      <c r="P23" s="266"/>
      <c r="Q23" s="225"/>
      <c r="R23" s="225"/>
      <c r="S23" s="225"/>
      <c r="T23" s="225"/>
      <c r="U23" s="225"/>
      <c r="V23" s="225"/>
      <c r="W23" s="259"/>
      <c r="X23" s="260"/>
      <c r="Y23" s="261"/>
      <c r="Z23" s="226"/>
      <c r="AA23" s="262"/>
      <c r="AB23" s="238"/>
      <c r="AC23" s="230"/>
      <c r="AD23" s="230"/>
      <c r="AE23" s="230"/>
      <c r="AF23" s="230"/>
      <c r="AG23" s="230"/>
      <c r="AH23" s="230"/>
      <c r="AI23" s="230"/>
      <c r="AJ23" s="230"/>
      <c r="AK23" s="230"/>
      <c r="AL23" s="230"/>
      <c r="AM23" s="230"/>
      <c r="AN23" s="230"/>
      <c r="AO23" s="230"/>
      <c r="AP23" s="230"/>
      <c r="AQ23" s="231"/>
      <c r="AR23" s="232"/>
      <c r="AW23" s="263"/>
      <c r="AX23" s="263"/>
      <c r="AY23" s="263"/>
      <c r="AZ23" s="263"/>
      <c r="BA23" s="263"/>
      <c r="BB23" s="263"/>
    </row>
    <row r="24" spans="1:54" s="234" customFormat="1" ht="14.25" customHeight="1" hidden="1" thickBot="1">
      <c r="A24" s="227"/>
      <c r="B24" s="227"/>
      <c r="C24" s="227"/>
      <c r="D24" s="227"/>
      <c r="E24" s="227"/>
      <c r="F24" s="227"/>
      <c r="G24" s="228"/>
      <c r="H24" s="221"/>
      <c r="I24" s="222"/>
      <c r="J24" s="223"/>
      <c r="K24" s="223"/>
      <c r="L24" s="257"/>
      <c r="M24" s="254"/>
      <c r="N24" s="264"/>
      <c r="O24" s="265"/>
      <c r="P24" s="266"/>
      <c r="Q24" s="225"/>
      <c r="R24" s="225"/>
      <c r="S24" s="225"/>
      <c r="T24" s="225"/>
      <c r="U24" s="225"/>
      <c r="V24" s="225"/>
      <c r="W24" s="259"/>
      <c r="X24" s="260"/>
      <c r="Y24" s="261"/>
      <c r="Z24" s="226"/>
      <c r="AA24" s="262"/>
      <c r="AB24" s="238" t="s">
        <v>153</v>
      </c>
      <c r="AC24" s="230"/>
      <c r="AD24" s="230"/>
      <c r="AE24" s="230"/>
      <c r="AF24" s="230"/>
      <c r="AG24" s="230"/>
      <c r="AH24" s="230"/>
      <c r="AI24" s="230"/>
      <c r="AJ24" s="230"/>
      <c r="AK24" s="230"/>
      <c r="AL24" s="230"/>
      <c r="AM24" s="230"/>
      <c r="AN24" s="230"/>
      <c r="AO24" s="230"/>
      <c r="AP24" s="230"/>
      <c r="AQ24" s="231">
        <f>+AC24+AE24+AG24+AI24+AK24+AM24+AO24</f>
        <v>0</v>
      </c>
      <c r="AR24" s="232">
        <f>+AD24+AF24+AH24+AJ24+AL24+AN24+AP24</f>
        <v>0</v>
      </c>
      <c r="AW24" s="263"/>
      <c r="AX24" s="263"/>
      <c r="AY24" s="263"/>
      <c r="AZ24" s="263"/>
      <c r="BA24" s="263"/>
      <c r="BB24" s="263"/>
    </row>
    <row r="25" spans="1:54" s="234" customFormat="1" ht="4.5" customHeight="1" hidden="1" thickBot="1">
      <c r="A25" s="227"/>
      <c r="B25" s="227"/>
      <c r="C25" s="227"/>
      <c r="D25" s="227"/>
      <c r="E25" s="227"/>
      <c r="F25" s="227"/>
      <c r="G25" s="228"/>
      <c r="H25" s="239"/>
      <c r="I25" s="240"/>
      <c r="J25" s="241"/>
      <c r="K25" s="241"/>
      <c r="L25" s="258"/>
      <c r="M25" s="255"/>
      <c r="N25" s="267"/>
      <c r="O25" s="268"/>
      <c r="P25" s="269"/>
      <c r="Q25" s="243"/>
      <c r="R25" s="243"/>
      <c r="S25" s="243"/>
      <c r="T25" s="243"/>
      <c r="U25" s="243"/>
      <c r="V25" s="243"/>
      <c r="W25" s="270"/>
      <c r="X25" s="271"/>
      <c r="Y25" s="272"/>
      <c r="Z25" s="244"/>
      <c r="AA25" s="273"/>
      <c r="AB25" s="245" t="s">
        <v>164</v>
      </c>
      <c r="AC25" s="246"/>
      <c r="AD25" s="246"/>
      <c r="AE25" s="246"/>
      <c r="AF25" s="246"/>
      <c r="AG25" s="246"/>
      <c r="AH25" s="246"/>
      <c r="AI25" s="246"/>
      <c r="AJ25" s="246"/>
      <c r="AK25" s="246"/>
      <c r="AL25" s="246"/>
      <c r="AM25" s="246"/>
      <c r="AN25" s="246"/>
      <c r="AO25" s="246"/>
      <c r="AP25" s="246"/>
      <c r="AQ25" s="247">
        <f aca="true" t="shared" si="0" ref="AQ25:AR31">+AC25+AE25+AG25+AI25+AK25+AM25+AO25</f>
        <v>0</v>
      </c>
      <c r="AR25" s="248">
        <f t="shared" si="0"/>
        <v>0</v>
      </c>
      <c r="AW25" s="263"/>
      <c r="AX25" s="263"/>
      <c r="AY25" s="263"/>
      <c r="AZ25" s="263"/>
      <c r="BA25" s="263"/>
      <c r="BB25" s="263"/>
    </row>
    <row r="26" spans="1:54" s="279" customFormat="1" ht="14.25" customHeight="1">
      <c r="A26" s="274" t="s">
        <v>171</v>
      </c>
      <c r="B26" s="274" t="s">
        <v>172</v>
      </c>
      <c r="C26" s="274" t="s">
        <v>146</v>
      </c>
      <c r="D26" s="274" t="s">
        <v>147</v>
      </c>
      <c r="E26" s="274" t="s">
        <v>166</v>
      </c>
      <c r="F26" s="274" t="s">
        <v>166</v>
      </c>
      <c r="G26" s="275">
        <v>14</v>
      </c>
      <c r="H26" s="214">
        <v>886</v>
      </c>
      <c r="I26" s="249" t="s">
        <v>45</v>
      </c>
      <c r="J26" s="215"/>
      <c r="K26" s="216" t="s">
        <v>48</v>
      </c>
      <c r="L26" s="256"/>
      <c r="M26" s="249"/>
      <c r="N26" s="249" t="s">
        <v>173</v>
      </c>
      <c r="O26" s="276">
        <v>0.27</v>
      </c>
      <c r="P26" s="277">
        <v>0.27</v>
      </c>
      <c r="Q26" s="218">
        <f>SUMIF('Actividades inversión 886'!$B$13:$B$50,'Metas inversión 886'!$B26,'Actividades inversión 886'!M$13:M$50)</f>
        <v>0</v>
      </c>
      <c r="R26" s="218">
        <f>SUMIF('Actividades inversión 886'!$B$13:$B$50,'Metas inversión 886'!$B26,'Actividades inversión 886'!N$13:N$50)</f>
        <v>0</v>
      </c>
      <c r="S26" s="218">
        <f>SUMIF('Actividades inversión 886'!$B$13:$B$50,'Metas inversión 886'!$B26,'Actividades inversión 886'!O$13:O$50)</f>
        <v>0</v>
      </c>
      <c r="T26" s="218">
        <f>SUMIF('Actividades inversión 886'!$B$13:$B$50,'Metas inversión 886'!$B26,'Actividades inversión 886'!P$13:P$50)</f>
        <v>0</v>
      </c>
      <c r="U26" s="218">
        <f>SUMIF('Actividades inversión 886'!$B$13:$B$50,'Metas inversión 886'!$B26,'Actividades inversión 886'!Q$13:Q$50)</f>
        <v>3555200</v>
      </c>
      <c r="V26" s="218">
        <f>SUMIF('Actividades inversión 886'!$B$13:$B$50,'Metas inversión 886'!$B26,'Actividades inversión 886'!R$13:R$50)</f>
        <v>3555200</v>
      </c>
      <c r="W26" s="220"/>
      <c r="X26" s="220"/>
      <c r="Y26" s="220"/>
      <c r="Z26" s="220"/>
      <c r="AA26" s="278" t="s">
        <v>174</v>
      </c>
      <c r="AB26" s="250" t="s">
        <v>149</v>
      </c>
      <c r="AC26" s="251"/>
      <c r="AD26" s="251"/>
      <c r="AE26" s="251"/>
      <c r="AF26" s="251"/>
      <c r="AG26" s="251"/>
      <c r="AH26" s="251"/>
      <c r="AI26" s="251"/>
      <c r="AJ26" s="251"/>
      <c r="AK26" s="251"/>
      <c r="AL26" s="251"/>
      <c r="AM26" s="251"/>
      <c r="AN26" s="251"/>
      <c r="AO26" s="251"/>
      <c r="AP26" s="251"/>
      <c r="AQ26" s="252">
        <f t="shared" si="0"/>
        <v>0</v>
      </c>
      <c r="AR26" s="253">
        <f t="shared" si="0"/>
        <v>0</v>
      </c>
      <c r="AW26" s="233">
        <f>+'[1]99-METROPOLITANO'!N78</f>
        <v>0</v>
      </c>
      <c r="AX26" s="233">
        <f>+'[1]99-METROPOLITANO'!O78</f>
        <v>0</v>
      </c>
      <c r="AY26" s="233">
        <f>+'[1]99-METROPOLITANO'!P78</f>
        <v>0</v>
      </c>
      <c r="AZ26" s="233">
        <f>+'[1]99-METROPOLITANO'!Q78</f>
        <v>0</v>
      </c>
      <c r="BA26" s="233">
        <f>+'[1]99-METROPOLITANO'!R78</f>
        <v>3555200</v>
      </c>
      <c r="BB26" s="233">
        <f>+'[1]99-METROPOLITANO'!S78</f>
        <v>3555200</v>
      </c>
    </row>
    <row r="27" spans="1:54" s="279" customFormat="1" ht="14.25" customHeight="1">
      <c r="A27" s="274"/>
      <c r="B27" s="274"/>
      <c r="C27" s="274"/>
      <c r="D27" s="274"/>
      <c r="E27" s="274"/>
      <c r="F27" s="274"/>
      <c r="G27" s="275"/>
      <c r="H27" s="221"/>
      <c r="I27" s="254"/>
      <c r="J27" s="223"/>
      <c r="K27" s="223"/>
      <c r="L27" s="257"/>
      <c r="M27" s="254"/>
      <c r="N27" s="254"/>
      <c r="O27" s="280"/>
      <c r="P27" s="281"/>
      <c r="Q27" s="225"/>
      <c r="R27" s="225"/>
      <c r="S27" s="225"/>
      <c r="T27" s="225"/>
      <c r="U27" s="225"/>
      <c r="V27" s="225"/>
      <c r="W27" s="226"/>
      <c r="X27" s="226"/>
      <c r="Y27" s="226"/>
      <c r="Z27" s="282"/>
      <c r="AA27" s="283"/>
      <c r="AB27" s="238" t="s">
        <v>150</v>
      </c>
      <c r="AC27" s="230"/>
      <c r="AD27" s="230"/>
      <c r="AE27" s="230"/>
      <c r="AF27" s="230"/>
      <c r="AG27" s="230"/>
      <c r="AH27" s="230"/>
      <c r="AI27" s="230"/>
      <c r="AJ27" s="230"/>
      <c r="AK27" s="230"/>
      <c r="AL27" s="230"/>
      <c r="AM27" s="230"/>
      <c r="AN27" s="230"/>
      <c r="AO27" s="230"/>
      <c r="AP27" s="230"/>
      <c r="AQ27" s="231">
        <f t="shared" si="0"/>
        <v>0</v>
      </c>
      <c r="AR27" s="232">
        <f t="shared" si="0"/>
        <v>0</v>
      </c>
      <c r="AW27" s="284"/>
      <c r="AX27" s="284"/>
      <c r="AY27" s="284"/>
      <c r="AZ27" s="284"/>
      <c r="BA27" s="284"/>
      <c r="BB27" s="284"/>
    </row>
    <row r="28" spans="1:54" s="279" customFormat="1" ht="14.25" customHeight="1">
      <c r="A28" s="274"/>
      <c r="B28" s="274"/>
      <c r="C28" s="274"/>
      <c r="D28" s="274"/>
      <c r="E28" s="274"/>
      <c r="F28" s="274"/>
      <c r="G28" s="275"/>
      <c r="H28" s="221"/>
      <c r="I28" s="254"/>
      <c r="J28" s="223"/>
      <c r="K28" s="223"/>
      <c r="L28" s="257"/>
      <c r="M28" s="254"/>
      <c r="N28" s="254"/>
      <c r="O28" s="280"/>
      <c r="P28" s="281"/>
      <c r="Q28" s="225"/>
      <c r="R28" s="225"/>
      <c r="S28" s="225"/>
      <c r="T28" s="225"/>
      <c r="U28" s="225"/>
      <c r="V28" s="225"/>
      <c r="W28" s="226"/>
      <c r="X28" s="226"/>
      <c r="Y28" s="226"/>
      <c r="Z28" s="282"/>
      <c r="AA28" s="283"/>
      <c r="AB28" s="238" t="s">
        <v>151</v>
      </c>
      <c r="AC28" s="230"/>
      <c r="AD28" s="230"/>
      <c r="AE28" s="230"/>
      <c r="AF28" s="230"/>
      <c r="AG28" s="230"/>
      <c r="AH28" s="230"/>
      <c r="AI28" s="230"/>
      <c r="AJ28" s="230"/>
      <c r="AK28" s="230"/>
      <c r="AL28" s="230"/>
      <c r="AM28" s="230"/>
      <c r="AN28" s="230"/>
      <c r="AO28" s="230"/>
      <c r="AP28" s="230"/>
      <c r="AQ28" s="231">
        <f t="shared" si="0"/>
        <v>0</v>
      </c>
      <c r="AR28" s="232">
        <f t="shared" si="0"/>
        <v>0</v>
      </c>
      <c r="AW28" s="284"/>
      <c r="AX28" s="284"/>
      <c r="AY28" s="284"/>
      <c r="AZ28" s="284"/>
      <c r="BA28" s="284"/>
      <c r="BB28" s="284"/>
    </row>
    <row r="29" spans="1:54" s="279" customFormat="1" ht="14.25" customHeight="1">
      <c r="A29" s="274"/>
      <c r="B29" s="274"/>
      <c r="C29" s="274"/>
      <c r="D29" s="274"/>
      <c r="E29" s="274"/>
      <c r="F29" s="274"/>
      <c r="G29" s="275"/>
      <c r="H29" s="221"/>
      <c r="I29" s="254"/>
      <c r="J29" s="223"/>
      <c r="K29" s="223"/>
      <c r="L29" s="257"/>
      <c r="M29" s="254"/>
      <c r="N29" s="254"/>
      <c r="O29" s="280"/>
      <c r="P29" s="281"/>
      <c r="Q29" s="225"/>
      <c r="R29" s="225"/>
      <c r="S29" s="225"/>
      <c r="T29" s="225"/>
      <c r="U29" s="225"/>
      <c r="V29" s="225"/>
      <c r="W29" s="226"/>
      <c r="X29" s="226"/>
      <c r="Y29" s="226"/>
      <c r="Z29" s="282"/>
      <c r="AA29" s="283"/>
      <c r="AB29" s="238" t="s">
        <v>152</v>
      </c>
      <c r="AC29" s="230"/>
      <c r="AD29" s="230"/>
      <c r="AE29" s="230"/>
      <c r="AF29" s="230"/>
      <c r="AG29" s="230"/>
      <c r="AH29" s="230"/>
      <c r="AI29" s="230"/>
      <c r="AJ29" s="230"/>
      <c r="AK29" s="230"/>
      <c r="AL29" s="230"/>
      <c r="AM29" s="230"/>
      <c r="AN29" s="230"/>
      <c r="AO29" s="230"/>
      <c r="AP29" s="230"/>
      <c r="AQ29" s="231">
        <f t="shared" si="0"/>
        <v>0</v>
      </c>
      <c r="AR29" s="232">
        <f t="shared" si="0"/>
        <v>0</v>
      </c>
      <c r="AW29" s="284"/>
      <c r="AX29" s="284"/>
      <c r="AY29" s="284"/>
      <c r="AZ29" s="284"/>
      <c r="BA29" s="284"/>
      <c r="BB29" s="284"/>
    </row>
    <row r="30" spans="1:54" s="279" customFormat="1" ht="0.75" customHeight="1" thickBot="1">
      <c r="A30" s="274"/>
      <c r="B30" s="274"/>
      <c r="C30" s="274"/>
      <c r="D30" s="274"/>
      <c r="E30" s="274"/>
      <c r="F30" s="274"/>
      <c r="G30" s="275"/>
      <c r="H30" s="221"/>
      <c r="I30" s="254"/>
      <c r="J30" s="223"/>
      <c r="K30" s="223"/>
      <c r="L30" s="257"/>
      <c r="M30" s="254"/>
      <c r="N30" s="254"/>
      <c r="O30" s="280"/>
      <c r="P30" s="281"/>
      <c r="Q30" s="225"/>
      <c r="R30" s="225"/>
      <c r="S30" s="225"/>
      <c r="T30" s="225"/>
      <c r="U30" s="225"/>
      <c r="V30" s="225"/>
      <c r="W30" s="226"/>
      <c r="X30" s="226"/>
      <c r="Y30" s="226"/>
      <c r="Z30" s="282"/>
      <c r="AA30" s="285"/>
      <c r="AB30" s="238" t="s">
        <v>153</v>
      </c>
      <c r="AC30" s="230"/>
      <c r="AD30" s="230"/>
      <c r="AE30" s="230"/>
      <c r="AF30" s="230"/>
      <c r="AG30" s="230"/>
      <c r="AH30" s="230"/>
      <c r="AI30" s="230"/>
      <c r="AJ30" s="230"/>
      <c r="AK30" s="230"/>
      <c r="AL30" s="230"/>
      <c r="AM30" s="230"/>
      <c r="AN30" s="230"/>
      <c r="AO30" s="230"/>
      <c r="AP30" s="230"/>
      <c r="AQ30" s="231">
        <f t="shared" si="0"/>
        <v>0</v>
      </c>
      <c r="AR30" s="232">
        <f t="shared" si="0"/>
        <v>0</v>
      </c>
      <c r="AW30" s="284"/>
      <c r="AX30" s="284"/>
      <c r="AY30" s="284"/>
      <c r="AZ30" s="284"/>
      <c r="BA30" s="284"/>
      <c r="BB30" s="284"/>
    </row>
    <row r="31" spans="1:54" s="279" customFormat="1" ht="14.25" customHeight="1" hidden="1" thickBot="1">
      <c r="A31" s="274"/>
      <c r="B31" s="274"/>
      <c r="C31" s="274"/>
      <c r="D31" s="274"/>
      <c r="E31" s="274"/>
      <c r="F31" s="274"/>
      <c r="G31" s="275"/>
      <c r="H31" s="221"/>
      <c r="I31" s="254"/>
      <c r="J31" s="223"/>
      <c r="K31" s="223"/>
      <c r="L31" s="257"/>
      <c r="M31" s="254"/>
      <c r="N31" s="254"/>
      <c r="O31" s="280"/>
      <c r="P31" s="281"/>
      <c r="Q31" s="225"/>
      <c r="R31" s="225"/>
      <c r="S31" s="225"/>
      <c r="T31" s="225"/>
      <c r="U31" s="225"/>
      <c r="V31" s="225"/>
      <c r="W31" s="226"/>
      <c r="X31" s="226"/>
      <c r="Y31" s="226"/>
      <c r="Z31" s="282"/>
      <c r="AA31" s="286"/>
      <c r="AB31" s="229" t="s">
        <v>154</v>
      </c>
      <c r="AC31" s="230"/>
      <c r="AD31" s="230"/>
      <c r="AE31" s="230"/>
      <c r="AF31" s="230"/>
      <c r="AG31" s="230"/>
      <c r="AH31" s="230"/>
      <c r="AI31" s="230"/>
      <c r="AJ31" s="230"/>
      <c r="AK31" s="230"/>
      <c r="AL31" s="230"/>
      <c r="AM31" s="230"/>
      <c r="AN31" s="230"/>
      <c r="AO31" s="230"/>
      <c r="AP31" s="230"/>
      <c r="AQ31" s="231">
        <f t="shared" si="0"/>
        <v>0</v>
      </c>
      <c r="AR31" s="232">
        <f t="shared" si="0"/>
        <v>0</v>
      </c>
      <c r="AW31" s="284"/>
      <c r="AX31" s="284"/>
      <c r="AY31" s="284"/>
      <c r="AZ31" s="284"/>
      <c r="BA31" s="284"/>
      <c r="BB31" s="284"/>
    </row>
    <row r="32" spans="1:54" s="279" customFormat="1" ht="3" customHeight="1" hidden="1" thickBot="1">
      <c r="A32" s="274"/>
      <c r="B32" s="274"/>
      <c r="C32" s="274"/>
      <c r="D32" s="274"/>
      <c r="E32" s="274"/>
      <c r="F32" s="274"/>
      <c r="G32" s="275"/>
      <c r="H32" s="221"/>
      <c r="I32" s="254"/>
      <c r="J32" s="223"/>
      <c r="K32" s="223"/>
      <c r="L32" s="257"/>
      <c r="M32" s="254"/>
      <c r="N32" s="254"/>
      <c r="O32" s="280"/>
      <c r="P32" s="281"/>
      <c r="Q32" s="225"/>
      <c r="R32" s="225"/>
      <c r="S32" s="225"/>
      <c r="T32" s="225"/>
      <c r="U32" s="225"/>
      <c r="V32" s="225"/>
      <c r="W32" s="226"/>
      <c r="X32" s="226"/>
      <c r="Y32" s="226"/>
      <c r="Z32" s="282"/>
      <c r="AA32" s="286"/>
      <c r="AB32" s="235" t="s">
        <v>155</v>
      </c>
      <c r="AC32" s="236">
        <f aca="true" t="shared" si="1" ref="AC32:AR32">SUM(AC26:AC31)</f>
        <v>0</v>
      </c>
      <c r="AD32" s="236">
        <f t="shared" si="1"/>
        <v>0</v>
      </c>
      <c r="AE32" s="236">
        <f t="shared" si="1"/>
        <v>0</v>
      </c>
      <c r="AF32" s="236">
        <f t="shared" si="1"/>
        <v>0</v>
      </c>
      <c r="AG32" s="236">
        <f t="shared" si="1"/>
        <v>0</v>
      </c>
      <c r="AH32" s="236">
        <f t="shared" si="1"/>
        <v>0</v>
      </c>
      <c r="AI32" s="236">
        <f t="shared" si="1"/>
        <v>0</v>
      </c>
      <c r="AJ32" s="236">
        <f t="shared" si="1"/>
        <v>0</v>
      </c>
      <c r="AK32" s="236">
        <f t="shared" si="1"/>
        <v>0</v>
      </c>
      <c r="AL32" s="236">
        <f t="shared" si="1"/>
        <v>0</v>
      </c>
      <c r="AM32" s="236">
        <f t="shared" si="1"/>
        <v>0</v>
      </c>
      <c r="AN32" s="236">
        <f t="shared" si="1"/>
        <v>0</v>
      </c>
      <c r="AO32" s="236">
        <f t="shared" si="1"/>
        <v>0</v>
      </c>
      <c r="AP32" s="236">
        <f t="shared" si="1"/>
        <v>0</v>
      </c>
      <c r="AQ32" s="236">
        <f t="shared" si="1"/>
        <v>0</v>
      </c>
      <c r="AR32" s="237">
        <f t="shared" si="1"/>
        <v>0</v>
      </c>
      <c r="AW32" s="284"/>
      <c r="AX32" s="284"/>
      <c r="AY32" s="284"/>
      <c r="AZ32" s="284"/>
      <c r="BA32" s="284"/>
      <c r="BB32" s="284"/>
    </row>
    <row r="33" spans="1:54" s="279" customFormat="1" ht="14.25" customHeight="1" hidden="1" thickBot="1">
      <c r="A33" s="274"/>
      <c r="B33" s="274"/>
      <c r="C33" s="274"/>
      <c r="D33" s="274"/>
      <c r="E33" s="274"/>
      <c r="F33" s="274"/>
      <c r="G33" s="275"/>
      <c r="H33" s="221"/>
      <c r="I33" s="254"/>
      <c r="J33" s="223"/>
      <c r="K33" s="223"/>
      <c r="L33" s="257"/>
      <c r="M33" s="254"/>
      <c r="N33" s="254"/>
      <c r="O33" s="280"/>
      <c r="P33" s="281"/>
      <c r="Q33" s="225"/>
      <c r="R33" s="225"/>
      <c r="S33" s="225"/>
      <c r="T33" s="225"/>
      <c r="U33" s="225"/>
      <c r="V33" s="225"/>
      <c r="W33" s="226"/>
      <c r="X33" s="226"/>
      <c r="Y33" s="226"/>
      <c r="Z33" s="282"/>
      <c r="AA33" s="286"/>
      <c r="AB33" s="238" t="s">
        <v>156</v>
      </c>
      <c r="AC33" s="230"/>
      <c r="AD33" s="230"/>
      <c r="AE33" s="230"/>
      <c r="AF33" s="230"/>
      <c r="AG33" s="230"/>
      <c r="AH33" s="230"/>
      <c r="AI33" s="230"/>
      <c r="AJ33" s="230"/>
      <c r="AK33" s="230"/>
      <c r="AL33" s="230"/>
      <c r="AM33" s="230"/>
      <c r="AN33" s="230"/>
      <c r="AO33" s="230"/>
      <c r="AP33" s="230"/>
      <c r="AQ33" s="231">
        <f>+AC33+AE33+AG33+AI33+AK33+AM33+AO33</f>
        <v>0</v>
      </c>
      <c r="AR33" s="232">
        <f aca="true" t="shared" si="2" ref="AR33:AR39">+AD33+AF33+AH33+AJ33+AL33+AN33+AP33</f>
        <v>0</v>
      </c>
      <c r="AW33" s="284"/>
      <c r="AX33" s="284"/>
      <c r="AY33" s="284"/>
      <c r="AZ33" s="284"/>
      <c r="BA33" s="284"/>
      <c r="BB33" s="284"/>
    </row>
    <row r="34" spans="1:54" s="279" customFormat="1" ht="12" customHeight="1" hidden="1" thickBot="1">
      <c r="A34" s="274"/>
      <c r="B34" s="274"/>
      <c r="C34" s="274"/>
      <c r="D34" s="274"/>
      <c r="E34" s="274"/>
      <c r="F34" s="274"/>
      <c r="G34" s="275"/>
      <c r="H34" s="221"/>
      <c r="I34" s="254"/>
      <c r="J34" s="223"/>
      <c r="K34" s="223"/>
      <c r="L34" s="257"/>
      <c r="M34" s="254"/>
      <c r="N34" s="254"/>
      <c r="O34" s="280"/>
      <c r="P34" s="281"/>
      <c r="Q34" s="225"/>
      <c r="R34" s="225"/>
      <c r="S34" s="225"/>
      <c r="T34" s="225"/>
      <c r="U34" s="225"/>
      <c r="V34" s="225"/>
      <c r="W34" s="226"/>
      <c r="X34" s="226"/>
      <c r="Y34" s="226"/>
      <c r="Z34" s="282"/>
      <c r="AA34" s="285" t="s">
        <v>175</v>
      </c>
      <c r="AB34" s="238" t="s">
        <v>157</v>
      </c>
      <c r="AC34" s="230"/>
      <c r="AD34" s="230"/>
      <c r="AE34" s="230"/>
      <c r="AF34" s="230"/>
      <c r="AG34" s="230"/>
      <c r="AH34" s="230"/>
      <c r="AI34" s="230"/>
      <c r="AJ34" s="230"/>
      <c r="AK34" s="230"/>
      <c r="AL34" s="230"/>
      <c r="AM34" s="230"/>
      <c r="AN34" s="230"/>
      <c r="AO34" s="230"/>
      <c r="AP34" s="230"/>
      <c r="AQ34" s="231">
        <f aca="true" t="shared" si="3" ref="AQ34:AQ39">+AC34+AE34+AG34+AI34+AK34+AM34+AO34</f>
        <v>0</v>
      </c>
      <c r="AR34" s="232">
        <f t="shared" si="2"/>
        <v>0</v>
      </c>
      <c r="AW34" s="284"/>
      <c r="AX34" s="284"/>
      <c r="AY34" s="284"/>
      <c r="AZ34" s="284"/>
      <c r="BA34" s="284"/>
      <c r="BB34" s="284"/>
    </row>
    <row r="35" spans="1:54" s="279" customFormat="1" ht="14.25" customHeight="1" hidden="1" thickBot="1">
      <c r="A35" s="274"/>
      <c r="B35" s="274"/>
      <c r="C35" s="274"/>
      <c r="D35" s="274"/>
      <c r="E35" s="274"/>
      <c r="F35" s="274"/>
      <c r="G35" s="275"/>
      <c r="H35" s="221"/>
      <c r="I35" s="254"/>
      <c r="J35" s="223"/>
      <c r="K35" s="223"/>
      <c r="L35" s="257"/>
      <c r="M35" s="254"/>
      <c r="N35" s="254"/>
      <c r="O35" s="280"/>
      <c r="P35" s="281"/>
      <c r="Q35" s="225"/>
      <c r="R35" s="225"/>
      <c r="S35" s="225"/>
      <c r="T35" s="225"/>
      <c r="U35" s="225"/>
      <c r="V35" s="225"/>
      <c r="W35" s="226"/>
      <c r="X35" s="226"/>
      <c r="Y35" s="226"/>
      <c r="Z35" s="282"/>
      <c r="AA35" s="286"/>
      <c r="AB35" s="229" t="s">
        <v>158</v>
      </c>
      <c r="AC35" s="230"/>
      <c r="AD35" s="230"/>
      <c r="AE35" s="230"/>
      <c r="AF35" s="230"/>
      <c r="AG35" s="230"/>
      <c r="AH35" s="230"/>
      <c r="AI35" s="230"/>
      <c r="AJ35" s="230"/>
      <c r="AK35" s="230"/>
      <c r="AL35" s="230"/>
      <c r="AM35" s="230"/>
      <c r="AN35" s="230"/>
      <c r="AO35" s="230"/>
      <c r="AP35" s="230"/>
      <c r="AQ35" s="231">
        <f t="shared" si="3"/>
        <v>0</v>
      </c>
      <c r="AR35" s="232">
        <f t="shared" si="2"/>
        <v>0</v>
      </c>
      <c r="AW35" s="284"/>
      <c r="AX35" s="284"/>
      <c r="AY35" s="284"/>
      <c r="AZ35" s="284"/>
      <c r="BA35" s="284"/>
      <c r="BB35" s="284"/>
    </row>
    <row r="36" spans="1:54" s="279" customFormat="1" ht="14.25" customHeight="1" hidden="1" thickBot="1">
      <c r="A36" s="274"/>
      <c r="B36" s="274"/>
      <c r="C36" s="274"/>
      <c r="D36" s="274"/>
      <c r="E36" s="274"/>
      <c r="F36" s="274"/>
      <c r="G36" s="275"/>
      <c r="H36" s="221"/>
      <c r="I36" s="254"/>
      <c r="J36" s="223"/>
      <c r="K36" s="223"/>
      <c r="L36" s="257"/>
      <c r="M36" s="254"/>
      <c r="N36" s="254"/>
      <c r="O36" s="280"/>
      <c r="P36" s="281"/>
      <c r="Q36" s="225"/>
      <c r="R36" s="225"/>
      <c r="S36" s="225"/>
      <c r="T36" s="225"/>
      <c r="U36" s="225"/>
      <c r="V36" s="225"/>
      <c r="W36" s="226"/>
      <c r="X36" s="226"/>
      <c r="Y36" s="226"/>
      <c r="Z36" s="282"/>
      <c r="AA36" s="286"/>
      <c r="AB36" s="229" t="s">
        <v>159</v>
      </c>
      <c r="AC36" s="230"/>
      <c r="AD36" s="230"/>
      <c r="AE36" s="230"/>
      <c r="AF36" s="230"/>
      <c r="AG36" s="230"/>
      <c r="AH36" s="230"/>
      <c r="AI36" s="230"/>
      <c r="AJ36" s="230"/>
      <c r="AK36" s="230"/>
      <c r="AL36" s="230"/>
      <c r="AM36" s="230"/>
      <c r="AN36" s="230"/>
      <c r="AO36" s="230"/>
      <c r="AP36" s="230"/>
      <c r="AQ36" s="231">
        <f t="shared" si="3"/>
        <v>0</v>
      </c>
      <c r="AR36" s="232">
        <f t="shared" si="2"/>
        <v>0</v>
      </c>
      <c r="AW36" s="284"/>
      <c r="AX36" s="284"/>
      <c r="AY36" s="284"/>
      <c r="AZ36" s="284"/>
      <c r="BA36" s="284"/>
      <c r="BB36" s="284"/>
    </row>
    <row r="37" spans="1:54" s="279" customFormat="1" ht="4.5" customHeight="1" hidden="1" thickBot="1">
      <c r="A37" s="274"/>
      <c r="B37" s="274"/>
      <c r="C37" s="274"/>
      <c r="D37" s="274"/>
      <c r="E37" s="274"/>
      <c r="F37" s="274"/>
      <c r="G37" s="275"/>
      <c r="H37" s="221"/>
      <c r="I37" s="254"/>
      <c r="J37" s="223"/>
      <c r="K37" s="223"/>
      <c r="L37" s="257"/>
      <c r="M37" s="254"/>
      <c r="N37" s="254"/>
      <c r="O37" s="280"/>
      <c r="P37" s="281"/>
      <c r="Q37" s="225"/>
      <c r="R37" s="225"/>
      <c r="S37" s="225"/>
      <c r="T37" s="225"/>
      <c r="U37" s="225"/>
      <c r="V37" s="225"/>
      <c r="W37" s="226"/>
      <c r="X37" s="226"/>
      <c r="Y37" s="226"/>
      <c r="Z37" s="282"/>
      <c r="AA37" s="286"/>
      <c r="AB37" s="229" t="s">
        <v>160</v>
      </c>
      <c r="AC37" s="230"/>
      <c r="AD37" s="230"/>
      <c r="AE37" s="230"/>
      <c r="AF37" s="230"/>
      <c r="AG37" s="230"/>
      <c r="AH37" s="230"/>
      <c r="AI37" s="230"/>
      <c r="AJ37" s="230"/>
      <c r="AK37" s="230"/>
      <c r="AL37" s="230"/>
      <c r="AM37" s="230"/>
      <c r="AN37" s="230"/>
      <c r="AO37" s="230"/>
      <c r="AP37" s="230"/>
      <c r="AQ37" s="231">
        <f t="shared" si="3"/>
        <v>0</v>
      </c>
      <c r="AR37" s="232">
        <f t="shared" si="2"/>
        <v>0</v>
      </c>
      <c r="AW37" s="284"/>
      <c r="AX37" s="284"/>
      <c r="AY37" s="284"/>
      <c r="AZ37" s="284"/>
      <c r="BA37" s="284"/>
      <c r="BB37" s="284"/>
    </row>
    <row r="38" spans="1:54" s="279" customFormat="1" ht="14.25" customHeight="1" hidden="1" thickBot="1">
      <c r="A38" s="274"/>
      <c r="B38" s="274"/>
      <c r="C38" s="274"/>
      <c r="D38" s="274"/>
      <c r="E38" s="274"/>
      <c r="F38" s="274"/>
      <c r="G38" s="275"/>
      <c r="H38" s="221"/>
      <c r="I38" s="254"/>
      <c r="J38" s="223"/>
      <c r="K38" s="223"/>
      <c r="L38" s="257"/>
      <c r="M38" s="254"/>
      <c r="N38" s="254"/>
      <c r="O38" s="280"/>
      <c r="P38" s="281"/>
      <c r="Q38" s="225"/>
      <c r="R38" s="225"/>
      <c r="S38" s="225"/>
      <c r="T38" s="225"/>
      <c r="U38" s="225"/>
      <c r="V38" s="225"/>
      <c r="W38" s="226"/>
      <c r="X38" s="226"/>
      <c r="Y38" s="226"/>
      <c r="Z38" s="282"/>
      <c r="AA38" s="285" t="s">
        <v>175</v>
      </c>
      <c r="AB38" s="229" t="s">
        <v>161</v>
      </c>
      <c r="AC38" s="230"/>
      <c r="AD38" s="230"/>
      <c r="AE38" s="230"/>
      <c r="AF38" s="230"/>
      <c r="AG38" s="230"/>
      <c r="AH38" s="230"/>
      <c r="AI38" s="230"/>
      <c r="AJ38" s="230"/>
      <c r="AK38" s="230"/>
      <c r="AL38" s="230"/>
      <c r="AM38" s="230"/>
      <c r="AN38" s="230"/>
      <c r="AO38" s="230"/>
      <c r="AP38" s="230"/>
      <c r="AQ38" s="231">
        <f t="shared" si="3"/>
        <v>0</v>
      </c>
      <c r="AR38" s="232">
        <f t="shared" si="2"/>
        <v>0</v>
      </c>
      <c r="AW38" s="284"/>
      <c r="AX38" s="284"/>
      <c r="AY38" s="284"/>
      <c r="AZ38" s="284"/>
      <c r="BA38" s="284"/>
      <c r="BB38" s="284"/>
    </row>
    <row r="39" spans="1:54" s="279" customFormat="1" ht="14.25" customHeight="1" hidden="1" thickBot="1">
      <c r="A39" s="274"/>
      <c r="B39" s="274"/>
      <c r="C39" s="274"/>
      <c r="D39" s="274"/>
      <c r="E39" s="274"/>
      <c r="F39" s="274"/>
      <c r="G39" s="275"/>
      <c r="H39" s="221"/>
      <c r="I39" s="254"/>
      <c r="J39" s="223"/>
      <c r="K39" s="223"/>
      <c r="L39" s="257"/>
      <c r="M39" s="254"/>
      <c r="N39" s="254"/>
      <c r="O39" s="280"/>
      <c r="P39" s="281"/>
      <c r="Q39" s="225"/>
      <c r="R39" s="225"/>
      <c r="S39" s="225"/>
      <c r="T39" s="225"/>
      <c r="U39" s="225"/>
      <c r="V39" s="225"/>
      <c r="W39" s="226"/>
      <c r="X39" s="226"/>
      <c r="Y39" s="226"/>
      <c r="Z39" s="282"/>
      <c r="AA39" s="286"/>
      <c r="AB39" s="229" t="s">
        <v>162</v>
      </c>
      <c r="AC39" s="230"/>
      <c r="AD39" s="230"/>
      <c r="AE39" s="230"/>
      <c r="AF39" s="230"/>
      <c r="AG39" s="230"/>
      <c r="AH39" s="230"/>
      <c r="AI39" s="230"/>
      <c r="AJ39" s="230"/>
      <c r="AK39" s="230"/>
      <c r="AL39" s="230"/>
      <c r="AM39" s="230"/>
      <c r="AN39" s="230"/>
      <c r="AO39" s="230"/>
      <c r="AP39" s="230"/>
      <c r="AQ39" s="231">
        <f t="shared" si="3"/>
        <v>0</v>
      </c>
      <c r="AR39" s="232">
        <f t="shared" si="2"/>
        <v>0</v>
      </c>
      <c r="AW39" s="284"/>
      <c r="AX39" s="284"/>
      <c r="AY39" s="284"/>
      <c r="AZ39" s="284"/>
      <c r="BA39" s="284"/>
      <c r="BB39" s="284"/>
    </row>
    <row r="40" spans="1:54" s="279" customFormat="1" ht="14.25" customHeight="1" hidden="1" thickBot="1">
      <c r="A40" s="274"/>
      <c r="B40" s="274"/>
      <c r="C40" s="274"/>
      <c r="D40" s="274"/>
      <c r="E40" s="274"/>
      <c r="F40" s="274"/>
      <c r="G40" s="275"/>
      <c r="H40" s="221"/>
      <c r="I40" s="254"/>
      <c r="J40" s="223"/>
      <c r="K40" s="223"/>
      <c r="L40" s="257"/>
      <c r="M40" s="254"/>
      <c r="N40" s="254"/>
      <c r="O40" s="280"/>
      <c r="P40" s="281"/>
      <c r="Q40" s="225"/>
      <c r="R40" s="225"/>
      <c r="S40" s="225"/>
      <c r="T40" s="225"/>
      <c r="U40" s="225"/>
      <c r="V40" s="225"/>
      <c r="W40" s="226"/>
      <c r="X40" s="226"/>
      <c r="Y40" s="226"/>
      <c r="Z40" s="282"/>
      <c r="AA40" s="286"/>
      <c r="AB40" s="235" t="s">
        <v>163</v>
      </c>
      <c r="AC40" s="236">
        <f aca="true" t="shared" si="4" ref="AC40:AR40">SUM(AC34:AC39)+IF(AC32=0,AC33,AC32)</f>
        <v>0</v>
      </c>
      <c r="AD40" s="236">
        <f t="shared" si="4"/>
        <v>0</v>
      </c>
      <c r="AE40" s="236">
        <f t="shared" si="4"/>
        <v>0</v>
      </c>
      <c r="AF40" s="236">
        <f t="shared" si="4"/>
        <v>0</v>
      </c>
      <c r="AG40" s="236">
        <f t="shared" si="4"/>
        <v>0</v>
      </c>
      <c r="AH40" s="236">
        <f t="shared" si="4"/>
        <v>0</v>
      </c>
      <c r="AI40" s="236">
        <f t="shared" si="4"/>
        <v>0</v>
      </c>
      <c r="AJ40" s="236">
        <f t="shared" si="4"/>
        <v>0</v>
      </c>
      <c r="AK40" s="236">
        <f t="shared" si="4"/>
        <v>0</v>
      </c>
      <c r="AL40" s="236">
        <f t="shared" si="4"/>
        <v>0</v>
      </c>
      <c r="AM40" s="236">
        <f t="shared" si="4"/>
        <v>0</v>
      </c>
      <c r="AN40" s="236">
        <f t="shared" si="4"/>
        <v>0</v>
      </c>
      <c r="AO40" s="236">
        <f t="shared" si="4"/>
        <v>0</v>
      </c>
      <c r="AP40" s="236">
        <f t="shared" si="4"/>
        <v>0</v>
      </c>
      <c r="AQ40" s="236">
        <f t="shared" si="4"/>
        <v>0</v>
      </c>
      <c r="AR40" s="237">
        <f t="shared" si="4"/>
        <v>0</v>
      </c>
      <c r="AW40" s="284"/>
      <c r="AX40" s="284"/>
      <c r="AY40" s="284"/>
      <c r="AZ40" s="284"/>
      <c r="BA40" s="284"/>
      <c r="BB40" s="284"/>
    </row>
    <row r="41" spans="1:54" s="279" customFormat="1" ht="16.5" customHeight="1" hidden="1" thickBot="1">
      <c r="A41" s="274"/>
      <c r="B41" s="274"/>
      <c r="C41" s="274"/>
      <c r="D41" s="274"/>
      <c r="E41" s="274"/>
      <c r="F41" s="274"/>
      <c r="G41" s="275"/>
      <c r="H41" s="239"/>
      <c r="I41" s="255"/>
      <c r="J41" s="241"/>
      <c r="K41" s="241"/>
      <c r="L41" s="258"/>
      <c r="M41" s="255"/>
      <c r="N41" s="255"/>
      <c r="O41" s="287"/>
      <c r="P41" s="288"/>
      <c r="Q41" s="243"/>
      <c r="R41" s="243"/>
      <c r="S41" s="243"/>
      <c r="T41" s="243"/>
      <c r="U41" s="243"/>
      <c r="V41" s="243"/>
      <c r="W41" s="244"/>
      <c r="X41" s="244"/>
      <c r="Y41" s="244"/>
      <c r="Z41" s="289"/>
      <c r="AA41" s="286"/>
      <c r="AB41" s="245" t="s">
        <v>164</v>
      </c>
      <c r="AC41" s="246"/>
      <c r="AD41" s="246"/>
      <c r="AE41" s="246"/>
      <c r="AF41" s="246"/>
      <c r="AG41" s="246"/>
      <c r="AH41" s="246"/>
      <c r="AI41" s="246"/>
      <c r="AJ41" s="246"/>
      <c r="AK41" s="246"/>
      <c r="AL41" s="246"/>
      <c r="AM41" s="246"/>
      <c r="AN41" s="246"/>
      <c r="AO41" s="246"/>
      <c r="AP41" s="246"/>
      <c r="AQ41" s="247">
        <f aca="true" t="shared" si="5" ref="AQ41:AR47">+AC41+AE41+AG41+AI41+AK41+AM41+AO41</f>
        <v>0</v>
      </c>
      <c r="AR41" s="248">
        <f t="shared" si="5"/>
        <v>0</v>
      </c>
      <c r="AW41" s="284"/>
      <c r="AX41" s="284"/>
      <c r="AY41" s="284"/>
      <c r="AZ41" s="284"/>
      <c r="BA41" s="284"/>
      <c r="BB41" s="284"/>
    </row>
    <row r="42" spans="1:54" s="279" customFormat="1" ht="14.25" customHeight="1">
      <c r="A42" s="274" t="s">
        <v>176</v>
      </c>
      <c r="B42" s="274" t="s">
        <v>177</v>
      </c>
      <c r="C42" s="274" t="s">
        <v>146</v>
      </c>
      <c r="D42" s="274" t="s">
        <v>147</v>
      </c>
      <c r="E42" s="274" t="s">
        <v>166</v>
      </c>
      <c r="F42" s="274" t="s">
        <v>61</v>
      </c>
      <c r="G42" s="275">
        <v>8</v>
      </c>
      <c r="H42" s="214">
        <v>886</v>
      </c>
      <c r="I42" s="249" t="s">
        <v>46</v>
      </c>
      <c r="J42" s="216"/>
      <c r="K42" s="216" t="s">
        <v>48</v>
      </c>
      <c r="L42" s="256"/>
      <c r="M42" s="249"/>
      <c r="N42" s="249" t="s">
        <v>178</v>
      </c>
      <c r="O42" s="217">
        <v>0.4</v>
      </c>
      <c r="P42" s="277">
        <v>0.0787</v>
      </c>
      <c r="Q42" s="218">
        <f>SUMIF('Actividades inversión 886'!$B$13:$B$50,'Metas inversión 886'!$B42,'Actividades inversión 886'!M$13:M$50)</f>
        <v>274847000</v>
      </c>
      <c r="R42" s="218">
        <f>SUMIF('Actividades inversión 886'!$B$13:$B$50,'Metas inversión 886'!$B42,'Actividades inversión 886'!N$13:N$50)</f>
        <v>245368000</v>
      </c>
      <c r="S42" s="218">
        <f>SUMIF('Actividades inversión 886'!$B$13:$B$50,'Metas inversión 886'!$B42,'Actividades inversión 886'!O$13:O$50)</f>
        <v>153941000</v>
      </c>
      <c r="T42" s="218">
        <f>SUMIF('Actividades inversión 886'!$B$13:$B$50,'Metas inversión 886'!$B42,'Actividades inversión 886'!P$13:P$50)</f>
        <v>44125933</v>
      </c>
      <c r="U42" s="218">
        <f>SUMIF('Actividades inversión 886'!$B$13:$B$50,'Metas inversión 886'!$B42,'Actividades inversión 886'!Q$13:Q$50)</f>
        <v>34710467</v>
      </c>
      <c r="V42" s="218">
        <f>SUMIF('Actividades inversión 886'!$B$13:$B$50,'Metas inversión 886'!$B42,'Actividades inversión 886'!R$13:R$50)</f>
        <v>34710467</v>
      </c>
      <c r="W42" s="219" t="s">
        <v>179</v>
      </c>
      <c r="X42" s="220" t="s">
        <v>180</v>
      </c>
      <c r="Y42" s="220" t="s">
        <v>181</v>
      </c>
      <c r="Z42" s="220"/>
      <c r="AA42" s="220"/>
      <c r="AB42" s="250" t="s">
        <v>182</v>
      </c>
      <c r="AC42" s="251"/>
      <c r="AD42" s="251"/>
      <c r="AE42" s="251"/>
      <c r="AF42" s="251"/>
      <c r="AG42" s="251"/>
      <c r="AH42" s="251"/>
      <c r="AI42" s="251"/>
      <c r="AJ42" s="251"/>
      <c r="AK42" s="251"/>
      <c r="AL42" s="251"/>
      <c r="AM42" s="251"/>
      <c r="AN42" s="251"/>
      <c r="AO42" s="251"/>
      <c r="AP42" s="251"/>
      <c r="AQ42" s="252">
        <f t="shared" si="5"/>
        <v>0</v>
      </c>
      <c r="AR42" s="253">
        <f t="shared" si="5"/>
        <v>0</v>
      </c>
      <c r="AW42" s="233">
        <f>+'[1]99-METROPOLITANO'!N94</f>
        <v>274847000</v>
      </c>
      <c r="AX42" s="233">
        <f>+'[1]99-METROPOLITANO'!O94</f>
        <v>245368000</v>
      </c>
      <c r="AY42" s="233">
        <f>+'[1]99-METROPOLITANO'!P94</f>
        <v>153941000</v>
      </c>
      <c r="AZ42" s="233">
        <f>+'[1]99-METROPOLITANO'!Q94</f>
        <v>44125933</v>
      </c>
      <c r="BA42" s="233">
        <f>+'[1]99-METROPOLITANO'!R94</f>
        <v>34710467</v>
      </c>
      <c r="BB42" s="233">
        <f>+'[1]99-METROPOLITANO'!S94</f>
        <v>34710467</v>
      </c>
    </row>
    <row r="43" spans="1:54" s="279" customFormat="1" ht="14.25" customHeight="1">
      <c r="A43" s="274"/>
      <c r="B43" s="274"/>
      <c r="C43" s="274"/>
      <c r="D43" s="274"/>
      <c r="E43" s="274"/>
      <c r="F43" s="274"/>
      <c r="G43" s="275"/>
      <c r="H43" s="221"/>
      <c r="I43" s="254"/>
      <c r="J43" s="223"/>
      <c r="K43" s="223"/>
      <c r="L43" s="257"/>
      <c r="M43" s="254"/>
      <c r="N43" s="254"/>
      <c r="O43" s="224"/>
      <c r="P43" s="281"/>
      <c r="Q43" s="225"/>
      <c r="R43" s="225"/>
      <c r="S43" s="225"/>
      <c r="T43" s="225"/>
      <c r="U43" s="225"/>
      <c r="V43" s="225"/>
      <c r="W43" s="226"/>
      <c r="X43" s="226"/>
      <c r="Y43" s="226"/>
      <c r="Z43" s="226"/>
      <c r="AA43" s="226"/>
      <c r="AB43" s="238" t="s">
        <v>150</v>
      </c>
      <c r="AC43" s="230"/>
      <c r="AD43" s="230"/>
      <c r="AE43" s="230"/>
      <c r="AF43" s="230"/>
      <c r="AG43" s="230"/>
      <c r="AH43" s="230"/>
      <c r="AI43" s="230"/>
      <c r="AJ43" s="230"/>
      <c r="AK43" s="230"/>
      <c r="AL43" s="230"/>
      <c r="AM43" s="230"/>
      <c r="AN43" s="230"/>
      <c r="AO43" s="230"/>
      <c r="AP43" s="230"/>
      <c r="AQ43" s="231">
        <f t="shared" si="5"/>
        <v>0</v>
      </c>
      <c r="AR43" s="232">
        <f t="shared" si="5"/>
        <v>0</v>
      </c>
      <c r="AW43" s="284"/>
      <c r="AX43" s="284"/>
      <c r="AY43" s="284"/>
      <c r="AZ43" s="284"/>
      <c r="BA43" s="284"/>
      <c r="BB43" s="284"/>
    </row>
    <row r="44" spans="1:54" s="279" customFormat="1" ht="14.25" customHeight="1">
      <c r="A44" s="274"/>
      <c r="B44" s="274"/>
      <c r="C44" s="274"/>
      <c r="D44" s="274"/>
      <c r="E44" s="274"/>
      <c r="F44" s="274"/>
      <c r="G44" s="275"/>
      <c r="H44" s="221"/>
      <c r="I44" s="254"/>
      <c r="J44" s="223"/>
      <c r="K44" s="223"/>
      <c r="L44" s="257"/>
      <c r="M44" s="254"/>
      <c r="N44" s="254"/>
      <c r="O44" s="224"/>
      <c r="P44" s="281"/>
      <c r="Q44" s="225"/>
      <c r="R44" s="225"/>
      <c r="S44" s="225"/>
      <c r="T44" s="225"/>
      <c r="U44" s="225"/>
      <c r="V44" s="225"/>
      <c r="W44" s="226"/>
      <c r="X44" s="226"/>
      <c r="Y44" s="226"/>
      <c r="Z44" s="226"/>
      <c r="AA44" s="226"/>
      <c r="AB44" s="238" t="s">
        <v>151</v>
      </c>
      <c r="AC44" s="230"/>
      <c r="AD44" s="230"/>
      <c r="AE44" s="230"/>
      <c r="AF44" s="230"/>
      <c r="AG44" s="230"/>
      <c r="AH44" s="230"/>
      <c r="AI44" s="230"/>
      <c r="AJ44" s="230"/>
      <c r="AK44" s="230"/>
      <c r="AL44" s="230"/>
      <c r="AM44" s="230"/>
      <c r="AN44" s="230"/>
      <c r="AO44" s="230"/>
      <c r="AP44" s="230"/>
      <c r="AQ44" s="231">
        <f t="shared" si="5"/>
        <v>0</v>
      </c>
      <c r="AR44" s="232">
        <f t="shared" si="5"/>
        <v>0</v>
      </c>
      <c r="AW44" s="284"/>
      <c r="AX44" s="284"/>
      <c r="AY44" s="284"/>
      <c r="AZ44" s="284"/>
      <c r="BA44" s="284"/>
      <c r="BB44" s="284"/>
    </row>
    <row r="45" spans="1:54" s="279" customFormat="1" ht="14.25" customHeight="1">
      <c r="A45" s="274"/>
      <c r="B45" s="274"/>
      <c r="C45" s="274"/>
      <c r="D45" s="274"/>
      <c r="E45" s="274"/>
      <c r="F45" s="274"/>
      <c r="G45" s="275"/>
      <c r="H45" s="221"/>
      <c r="I45" s="254"/>
      <c r="J45" s="223"/>
      <c r="K45" s="223"/>
      <c r="L45" s="257"/>
      <c r="M45" s="254"/>
      <c r="N45" s="254"/>
      <c r="O45" s="224"/>
      <c r="P45" s="281"/>
      <c r="Q45" s="225"/>
      <c r="R45" s="225"/>
      <c r="S45" s="225"/>
      <c r="T45" s="225"/>
      <c r="U45" s="225"/>
      <c r="V45" s="225"/>
      <c r="W45" s="226"/>
      <c r="X45" s="226"/>
      <c r="Y45" s="226"/>
      <c r="Z45" s="226"/>
      <c r="AA45" s="226"/>
      <c r="AB45" s="238" t="s">
        <v>152</v>
      </c>
      <c r="AC45" s="230"/>
      <c r="AD45" s="230"/>
      <c r="AE45" s="230"/>
      <c r="AF45" s="230"/>
      <c r="AG45" s="230"/>
      <c r="AH45" s="230"/>
      <c r="AI45" s="230"/>
      <c r="AJ45" s="230"/>
      <c r="AK45" s="230"/>
      <c r="AL45" s="230"/>
      <c r="AM45" s="230"/>
      <c r="AN45" s="230"/>
      <c r="AO45" s="230"/>
      <c r="AP45" s="230"/>
      <c r="AQ45" s="231">
        <f t="shared" si="5"/>
        <v>0</v>
      </c>
      <c r="AR45" s="232">
        <f t="shared" si="5"/>
        <v>0</v>
      </c>
      <c r="AW45" s="284"/>
      <c r="AX45" s="284"/>
      <c r="AY45" s="284"/>
      <c r="AZ45" s="284"/>
      <c r="BA45" s="284"/>
      <c r="BB45" s="284"/>
    </row>
    <row r="46" spans="1:54" s="279" customFormat="1" ht="14.25" customHeight="1">
      <c r="A46" s="274"/>
      <c r="B46" s="274"/>
      <c r="C46" s="274"/>
      <c r="D46" s="274"/>
      <c r="E46" s="274"/>
      <c r="F46" s="274"/>
      <c r="G46" s="275"/>
      <c r="H46" s="221"/>
      <c r="I46" s="254"/>
      <c r="J46" s="223"/>
      <c r="K46" s="223"/>
      <c r="L46" s="257"/>
      <c r="M46" s="254"/>
      <c r="N46" s="254"/>
      <c r="O46" s="224"/>
      <c r="P46" s="281"/>
      <c r="Q46" s="225"/>
      <c r="R46" s="225"/>
      <c r="S46" s="225"/>
      <c r="T46" s="225"/>
      <c r="U46" s="225"/>
      <c r="V46" s="225"/>
      <c r="W46" s="226"/>
      <c r="X46" s="226"/>
      <c r="Y46" s="226"/>
      <c r="Z46" s="226"/>
      <c r="AA46" s="226"/>
      <c r="AB46" s="238" t="s">
        <v>153</v>
      </c>
      <c r="AC46" s="230"/>
      <c r="AD46" s="230"/>
      <c r="AE46" s="230"/>
      <c r="AF46" s="230"/>
      <c r="AG46" s="230"/>
      <c r="AH46" s="230"/>
      <c r="AI46" s="230"/>
      <c r="AJ46" s="230"/>
      <c r="AK46" s="230"/>
      <c r="AL46" s="230"/>
      <c r="AM46" s="230"/>
      <c r="AN46" s="230"/>
      <c r="AO46" s="230"/>
      <c r="AP46" s="230"/>
      <c r="AQ46" s="231">
        <f t="shared" si="5"/>
        <v>0</v>
      </c>
      <c r="AR46" s="232">
        <f t="shared" si="5"/>
        <v>0</v>
      </c>
      <c r="AW46" s="284"/>
      <c r="AX46" s="284"/>
      <c r="AY46" s="284"/>
      <c r="AZ46" s="284"/>
      <c r="BA46" s="284"/>
      <c r="BB46" s="284"/>
    </row>
    <row r="47" spans="1:54" s="279" customFormat="1" ht="9" customHeight="1" thickBot="1">
      <c r="A47" s="274"/>
      <c r="B47" s="274"/>
      <c r="C47" s="274"/>
      <c r="D47" s="274"/>
      <c r="E47" s="274"/>
      <c r="F47" s="274"/>
      <c r="G47" s="275"/>
      <c r="H47" s="221"/>
      <c r="I47" s="254"/>
      <c r="J47" s="223"/>
      <c r="K47" s="223"/>
      <c r="L47" s="257"/>
      <c r="M47" s="254"/>
      <c r="N47" s="254"/>
      <c r="O47" s="224"/>
      <c r="P47" s="281"/>
      <c r="Q47" s="225"/>
      <c r="R47" s="225"/>
      <c r="S47" s="225"/>
      <c r="T47" s="225"/>
      <c r="U47" s="225"/>
      <c r="V47" s="225"/>
      <c r="W47" s="226"/>
      <c r="X47" s="226"/>
      <c r="Y47" s="226"/>
      <c r="Z47" s="226"/>
      <c r="AA47" s="226"/>
      <c r="AB47" s="229" t="s">
        <v>154</v>
      </c>
      <c r="AC47" s="230"/>
      <c r="AD47" s="230"/>
      <c r="AE47" s="230"/>
      <c r="AF47" s="230"/>
      <c r="AG47" s="230"/>
      <c r="AH47" s="230"/>
      <c r="AI47" s="230"/>
      <c r="AJ47" s="230"/>
      <c r="AK47" s="230"/>
      <c r="AL47" s="230"/>
      <c r="AM47" s="230"/>
      <c r="AN47" s="230"/>
      <c r="AO47" s="230"/>
      <c r="AP47" s="230"/>
      <c r="AQ47" s="231">
        <f t="shared" si="5"/>
        <v>0</v>
      </c>
      <c r="AR47" s="232">
        <f t="shared" si="5"/>
        <v>0</v>
      </c>
      <c r="AW47" s="284"/>
      <c r="AX47" s="284"/>
      <c r="AY47" s="284"/>
      <c r="AZ47" s="284"/>
      <c r="BA47" s="284"/>
      <c r="BB47" s="284"/>
    </row>
    <row r="48" spans="1:54" s="279" customFormat="1" ht="5.25" customHeight="1" hidden="1" thickBot="1">
      <c r="A48" s="274"/>
      <c r="B48" s="274"/>
      <c r="C48" s="274"/>
      <c r="D48" s="274"/>
      <c r="E48" s="274"/>
      <c r="F48" s="274"/>
      <c r="G48" s="275"/>
      <c r="H48" s="221"/>
      <c r="I48" s="254"/>
      <c r="J48" s="223"/>
      <c r="K48" s="223"/>
      <c r="L48" s="257"/>
      <c r="M48" s="254"/>
      <c r="N48" s="254"/>
      <c r="O48" s="224"/>
      <c r="P48" s="281"/>
      <c r="Q48" s="225"/>
      <c r="R48" s="225"/>
      <c r="S48" s="225"/>
      <c r="T48" s="225"/>
      <c r="U48" s="225"/>
      <c r="V48" s="225"/>
      <c r="W48" s="226"/>
      <c r="X48" s="226"/>
      <c r="Y48" s="226"/>
      <c r="Z48" s="226"/>
      <c r="AA48" s="226"/>
      <c r="AB48" s="235" t="s">
        <v>155</v>
      </c>
      <c r="AC48" s="236">
        <f aca="true" t="shared" si="6" ref="AC48:AR48">SUM(AC42:AC47)</f>
        <v>0</v>
      </c>
      <c r="AD48" s="236">
        <f t="shared" si="6"/>
        <v>0</v>
      </c>
      <c r="AE48" s="236">
        <f t="shared" si="6"/>
        <v>0</v>
      </c>
      <c r="AF48" s="236">
        <f t="shared" si="6"/>
        <v>0</v>
      </c>
      <c r="AG48" s="236">
        <f t="shared" si="6"/>
        <v>0</v>
      </c>
      <c r="AH48" s="236">
        <f t="shared" si="6"/>
        <v>0</v>
      </c>
      <c r="AI48" s="236">
        <f t="shared" si="6"/>
        <v>0</v>
      </c>
      <c r="AJ48" s="236">
        <f t="shared" si="6"/>
        <v>0</v>
      </c>
      <c r="AK48" s="236">
        <f t="shared" si="6"/>
        <v>0</v>
      </c>
      <c r="AL48" s="236">
        <f t="shared" si="6"/>
        <v>0</v>
      </c>
      <c r="AM48" s="236">
        <f t="shared" si="6"/>
        <v>0</v>
      </c>
      <c r="AN48" s="236">
        <f t="shared" si="6"/>
        <v>0</v>
      </c>
      <c r="AO48" s="236">
        <f t="shared" si="6"/>
        <v>0</v>
      </c>
      <c r="AP48" s="236">
        <f t="shared" si="6"/>
        <v>0</v>
      </c>
      <c r="AQ48" s="236">
        <f t="shared" si="6"/>
        <v>0</v>
      </c>
      <c r="AR48" s="237">
        <f t="shared" si="6"/>
        <v>0</v>
      </c>
      <c r="AW48" s="284"/>
      <c r="AX48" s="284"/>
      <c r="AY48" s="284"/>
      <c r="AZ48" s="284"/>
      <c r="BA48" s="284"/>
      <c r="BB48" s="284"/>
    </row>
    <row r="49" spans="1:54" s="279" customFormat="1" ht="14.25" customHeight="1" hidden="1" thickBot="1">
      <c r="A49" s="274"/>
      <c r="B49" s="274"/>
      <c r="C49" s="274"/>
      <c r="D49" s="274"/>
      <c r="E49" s="274"/>
      <c r="F49" s="274"/>
      <c r="G49" s="275"/>
      <c r="H49" s="221"/>
      <c r="I49" s="254"/>
      <c r="J49" s="223"/>
      <c r="K49" s="223"/>
      <c r="L49" s="257"/>
      <c r="M49" s="254"/>
      <c r="N49" s="254"/>
      <c r="O49" s="224"/>
      <c r="P49" s="281"/>
      <c r="Q49" s="225"/>
      <c r="R49" s="225"/>
      <c r="S49" s="225"/>
      <c r="T49" s="225"/>
      <c r="U49" s="225"/>
      <c r="V49" s="225"/>
      <c r="W49" s="226"/>
      <c r="X49" s="226"/>
      <c r="Y49" s="226"/>
      <c r="Z49" s="226"/>
      <c r="AA49" s="226"/>
      <c r="AB49" s="238" t="s">
        <v>156</v>
      </c>
      <c r="AC49" s="230"/>
      <c r="AD49" s="230"/>
      <c r="AE49" s="230"/>
      <c r="AF49" s="230"/>
      <c r="AG49" s="230"/>
      <c r="AH49" s="230"/>
      <c r="AI49" s="230"/>
      <c r="AJ49" s="230"/>
      <c r="AK49" s="230"/>
      <c r="AL49" s="230"/>
      <c r="AM49" s="230"/>
      <c r="AN49" s="230"/>
      <c r="AO49" s="230"/>
      <c r="AP49" s="230"/>
      <c r="AQ49" s="231">
        <f>+AC49+AE49+AG49+AI49+AK49+AM49+AO49</f>
        <v>0</v>
      </c>
      <c r="AR49" s="232">
        <f aca="true" t="shared" si="7" ref="AR49:AR55">+AD49+AF49+AH49+AJ49+AL49+AN49+AP49</f>
        <v>0</v>
      </c>
      <c r="AW49" s="284"/>
      <c r="AX49" s="284"/>
      <c r="AY49" s="284"/>
      <c r="AZ49" s="284"/>
      <c r="BA49" s="284"/>
      <c r="BB49" s="284"/>
    </row>
    <row r="50" spans="1:54" s="279" customFormat="1" ht="14.25" customHeight="1" hidden="1" thickBot="1">
      <c r="A50" s="274"/>
      <c r="B50" s="274"/>
      <c r="C50" s="274"/>
      <c r="D50" s="274"/>
      <c r="E50" s="274"/>
      <c r="F50" s="274"/>
      <c r="G50" s="275"/>
      <c r="H50" s="221"/>
      <c r="I50" s="254"/>
      <c r="J50" s="223"/>
      <c r="K50" s="223"/>
      <c r="L50" s="257"/>
      <c r="M50" s="254"/>
      <c r="N50" s="254"/>
      <c r="O50" s="224"/>
      <c r="P50" s="281"/>
      <c r="Q50" s="225"/>
      <c r="R50" s="225"/>
      <c r="S50" s="225"/>
      <c r="T50" s="225"/>
      <c r="U50" s="225"/>
      <c r="V50" s="225"/>
      <c r="W50" s="226"/>
      <c r="X50" s="226"/>
      <c r="Y50" s="226"/>
      <c r="Z50" s="226"/>
      <c r="AA50" s="226"/>
      <c r="AB50" s="238" t="s">
        <v>183</v>
      </c>
      <c r="AC50" s="230"/>
      <c r="AD50" s="230"/>
      <c r="AE50" s="230"/>
      <c r="AF50" s="230"/>
      <c r="AG50" s="230"/>
      <c r="AH50" s="230"/>
      <c r="AI50" s="230"/>
      <c r="AJ50" s="230"/>
      <c r="AK50" s="230"/>
      <c r="AL50" s="230"/>
      <c r="AM50" s="230"/>
      <c r="AN50" s="230"/>
      <c r="AO50" s="230"/>
      <c r="AP50" s="230"/>
      <c r="AQ50" s="231">
        <f aca="true" t="shared" si="8" ref="AQ50:AQ55">+AC50+AE50+AG50+AI50+AK50+AM50+AO50</f>
        <v>0</v>
      </c>
      <c r="AR50" s="232">
        <f t="shared" si="7"/>
        <v>0</v>
      </c>
      <c r="AW50" s="284"/>
      <c r="AX50" s="284"/>
      <c r="AY50" s="284"/>
      <c r="AZ50" s="284"/>
      <c r="BA50" s="284"/>
      <c r="BB50" s="284"/>
    </row>
    <row r="51" spans="1:54" s="279" customFormat="1" ht="14.25" customHeight="1" hidden="1" thickBot="1">
      <c r="A51" s="274"/>
      <c r="B51" s="274"/>
      <c r="C51" s="274"/>
      <c r="D51" s="274"/>
      <c r="E51" s="274"/>
      <c r="F51" s="274"/>
      <c r="G51" s="275"/>
      <c r="H51" s="221"/>
      <c r="I51" s="254"/>
      <c r="J51" s="223"/>
      <c r="K51" s="223"/>
      <c r="L51" s="257"/>
      <c r="M51" s="254"/>
      <c r="N51" s="254"/>
      <c r="O51" s="224"/>
      <c r="P51" s="281"/>
      <c r="Q51" s="225"/>
      <c r="R51" s="225"/>
      <c r="S51" s="225"/>
      <c r="T51" s="225"/>
      <c r="U51" s="225"/>
      <c r="V51" s="225"/>
      <c r="W51" s="226"/>
      <c r="X51" s="226"/>
      <c r="Y51" s="226"/>
      <c r="Z51" s="226"/>
      <c r="AA51" s="226"/>
      <c r="AB51" s="229" t="s">
        <v>158</v>
      </c>
      <c r="AC51" s="230"/>
      <c r="AD51" s="230"/>
      <c r="AE51" s="230"/>
      <c r="AF51" s="230"/>
      <c r="AG51" s="230"/>
      <c r="AH51" s="230"/>
      <c r="AI51" s="230"/>
      <c r="AJ51" s="230"/>
      <c r="AK51" s="230"/>
      <c r="AL51" s="230"/>
      <c r="AM51" s="230"/>
      <c r="AN51" s="230"/>
      <c r="AO51" s="230"/>
      <c r="AP51" s="230"/>
      <c r="AQ51" s="231">
        <f t="shared" si="8"/>
        <v>0</v>
      </c>
      <c r="AR51" s="232">
        <f t="shared" si="7"/>
        <v>0</v>
      </c>
      <c r="AW51" s="284"/>
      <c r="AX51" s="284"/>
      <c r="AY51" s="284"/>
      <c r="AZ51" s="284"/>
      <c r="BA51" s="284"/>
      <c r="BB51" s="284"/>
    </row>
    <row r="52" spans="1:54" s="279" customFormat="1" ht="14.25" customHeight="1" hidden="1" thickBot="1">
      <c r="A52" s="274"/>
      <c r="B52" s="274"/>
      <c r="C52" s="274"/>
      <c r="D52" s="274"/>
      <c r="E52" s="274"/>
      <c r="F52" s="274"/>
      <c r="G52" s="275"/>
      <c r="H52" s="221"/>
      <c r="I52" s="254"/>
      <c r="J52" s="223"/>
      <c r="K52" s="223"/>
      <c r="L52" s="257"/>
      <c r="M52" s="254"/>
      <c r="N52" s="254"/>
      <c r="O52" s="224"/>
      <c r="P52" s="281"/>
      <c r="Q52" s="225"/>
      <c r="R52" s="225"/>
      <c r="S52" s="225"/>
      <c r="T52" s="225"/>
      <c r="U52" s="225"/>
      <c r="V52" s="225"/>
      <c r="W52" s="226"/>
      <c r="X52" s="226"/>
      <c r="Y52" s="226"/>
      <c r="Z52" s="226"/>
      <c r="AA52" s="226"/>
      <c r="AB52" s="229" t="s">
        <v>159</v>
      </c>
      <c r="AC52" s="230"/>
      <c r="AD52" s="230"/>
      <c r="AE52" s="230"/>
      <c r="AF52" s="230"/>
      <c r="AG52" s="230"/>
      <c r="AH52" s="230"/>
      <c r="AI52" s="230"/>
      <c r="AJ52" s="230"/>
      <c r="AK52" s="230"/>
      <c r="AL52" s="230"/>
      <c r="AM52" s="230"/>
      <c r="AN52" s="230"/>
      <c r="AO52" s="230"/>
      <c r="AP52" s="230"/>
      <c r="AQ52" s="231">
        <f t="shared" si="8"/>
        <v>0</v>
      </c>
      <c r="AR52" s="232">
        <f t="shared" si="7"/>
        <v>0</v>
      </c>
      <c r="AW52" s="284"/>
      <c r="AX52" s="284"/>
      <c r="AY52" s="284"/>
      <c r="AZ52" s="284"/>
      <c r="BA52" s="284"/>
      <c r="BB52" s="284"/>
    </row>
    <row r="53" spans="1:54" s="279" customFormat="1" ht="14.25" customHeight="1" hidden="1" thickBot="1">
      <c r="A53" s="274"/>
      <c r="B53" s="274"/>
      <c r="C53" s="274"/>
      <c r="D53" s="274"/>
      <c r="E53" s="274"/>
      <c r="F53" s="274"/>
      <c r="G53" s="275"/>
      <c r="H53" s="221"/>
      <c r="I53" s="254"/>
      <c r="J53" s="223"/>
      <c r="K53" s="223"/>
      <c r="L53" s="257"/>
      <c r="M53" s="254"/>
      <c r="N53" s="254"/>
      <c r="O53" s="224"/>
      <c r="P53" s="281"/>
      <c r="Q53" s="225"/>
      <c r="R53" s="225"/>
      <c r="S53" s="225"/>
      <c r="T53" s="225"/>
      <c r="U53" s="225"/>
      <c r="V53" s="225"/>
      <c r="W53" s="226"/>
      <c r="X53" s="226"/>
      <c r="Y53" s="226"/>
      <c r="Z53" s="226"/>
      <c r="AA53" s="226"/>
      <c r="AB53" s="229" t="s">
        <v>160</v>
      </c>
      <c r="AC53" s="230"/>
      <c r="AD53" s="230"/>
      <c r="AE53" s="230"/>
      <c r="AF53" s="230"/>
      <c r="AG53" s="230"/>
      <c r="AH53" s="230"/>
      <c r="AI53" s="230"/>
      <c r="AJ53" s="230"/>
      <c r="AK53" s="230"/>
      <c r="AL53" s="230"/>
      <c r="AM53" s="230"/>
      <c r="AN53" s="230"/>
      <c r="AO53" s="230"/>
      <c r="AP53" s="230"/>
      <c r="AQ53" s="231">
        <f t="shared" si="8"/>
        <v>0</v>
      </c>
      <c r="AR53" s="232">
        <f t="shared" si="7"/>
        <v>0</v>
      </c>
      <c r="AW53" s="284"/>
      <c r="AX53" s="284"/>
      <c r="AY53" s="284"/>
      <c r="AZ53" s="284"/>
      <c r="BA53" s="284"/>
      <c r="BB53" s="284"/>
    </row>
    <row r="54" spans="1:54" s="279" customFormat="1" ht="14.25" customHeight="1" hidden="1" thickBot="1">
      <c r="A54" s="274"/>
      <c r="B54" s="274"/>
      <c r="C54" s="274"/>
      <c r="D54" s="274"/>
      <c r="E54" s="274"/>
      <c r="F54" s="274"/>
      <c r="G54" s="275"/>
      <c r="H54" s="221"/>
      <c r="I54" s="254"/>
      <c r="J54" s="223"/>
      <c r="K54" s="223"/>
      <c r="L54" s="257"/>
      <c r="M54" s="254"/>
      <c r="N54" s="254"/>
      <c r="O54" s="224"/>
      <c r="P54" s="281"/>
      <c r="Q54" s="225"/>
      <c r="R54" s="225"/>
      <c r="S54" s="225"/>
      <c r="T54" s="225"/>
      <c r="U54" s="225"/>
      <c r="V54" s="225"/>
      <c r="W54" s="226"/>
      <c r="X54" s="226"/>
      <c r="Y54" s="226"/>
      <c r="Z54" s="226"/>
      <c r="AA54" s="226"/>
      <c r="AB54" s="229" t="s">
        <v>161</v>
      </c>
      <c r="AC54" s="230"/>
      <c r="AD54" s="230"/>
      <c r="AE54" s="230"/>
      <c r="AF54" s="230"/>
      <c r="AG54" s="230"/>
      <c r="AH54" s="230"/>
      <c r="AI54" s="230"/>
      <c r="AJ54" s="230"/>
      <c r="AK54" s="230"/>
      <c r="AL54" s="230"/>
      <c r="AM54" s="230"/>
      <c r="AN54" s="230"/>
      <c r="AO54" s="230"/>
      <c r="AP54" s="230"/>
      <c r="AQ54" s="231">
        <f t="shared" si="8"/>
        <v>0</v>
      </c>
      <c r="AR54" s="232">
        <f t="shared" si="7"/>
        <v>0</v>
      </c>
      <c r="AW54" s="284"/>
      <c r="AX54" s="284"/>
      <c r="AY54" s="284"/>
      <c r="AZ54" s="284"/>
      <c r="BA54" s="284"/>
      <c r="BB54" s="284"/>
    </row>
    <row r="55" spans="1:54" s="279" customFormat="1" ht="14.25" customHeight="1" hidden="1" thickBot="1">
      <c r="A55" s="274"/>
      <c r="B55" s="274"/>
      <c r="C55" s="274"/>
      <c r="D55" s="274"/>
      <c r="E55" s="274"/>
      <c r="F55" s="274"/>
      <c r="G55" s="275"/>
      <c r="H55" s="221"/>
      <c r="I55" s="254"/>
      <c r="J55" s="223"/>
      <c r="K55" s="223"/>
      <c r="L55" s="257"/>
      <c r="M55" s="254"/>
      <c r="N55" s="254"/>
      <c r="O55" s="224"/>
      <c r="P55" s="281"/>
      <c r="Q55" s="225"/>
      <c r="R55" s="225"/>
      <c r="S55" s="225"/>
      <c r="T55" s="225"/>
      <c r="U55" s="225"/>
      <c r="V55" s="225"/>
      <c r="W55" s="226"/>
      <c r="X55" s="226"/>
      <c r="Y55" s="226"/>
      <c r="Z55" s="226"/>
      <c r="AA55" s="226"/>
      <c r="AB55" s="229" t="s">
        <v>162</v>
      </c>
      <c r="AC55" s="230"/>
      <c r="AD55" s="230"/>
      <c r="AE55" s="230"/>
      <c r="AF55" s="230"/>
      <c r="AG55" s="230"/>
      <c r="AH55" s="230"/>
      <c r="AI55" s="230"/>
      <c r="AJ55" s="230"/>
      <c r="AK55" s="230"/>
      <c r="AL55" s="230"/>
      <c r="AM55" s="230"/>
      <c r="AN55" s="230"/>
      <c r="AO55" s="230"/>
      <c r="AP55" s="230"/>
      <c r="AQ55" s="231">
        <f t="shared" si="8"/>
        <v>0</v>
      </c>
      <c r="AR55" s="232">
        <f t="shared" si="7"/>
        <v>0</v>
      </c>
      <c r="AW55" s="284"/>
      <c r="AX55" s="284"/>
      <c r="AY55" s="284"/>
      <c r="AZ55" s="284"/>
      <c r="BA55" s="284"/>
      <c r="BB55" s="284"/>
    </row>
    <row r="56" spans="1:54" s="279" customFormat="1" ht="14.25" customHeight="1" hidden="1" thickBot="1">
      <c r="A56" s="274"/>
      <c r="B56" s="274"/>
      <c r="C56" s="274"/>
      <c r="D56" s="274"/>
      <c r="E56" s="274"/>
      <c r="F56" s="274"/>
      <c r="G56" s="275"/>
      <c r="H56" s="221"/>
      <c r="I56" s="254"/>
      <c r="J56" s="223"/>
      <c r="K56" s="223"/>
      <c r="L56" s="257"/>
      <c r="M56" s="254"/>
      <c r="N56" s="254"/>
      <c r="O56" s="224"/>
      <c r="P56" s="281"/>
      <c r="Q56" s="225"/>
      <c r="R56" s="225"/>
      <c r="S56" s="225"/>
      <c r="T56" s="225"/>
      <c r="U56" s="225"/>
      <c r="V56" s="225"/>
      <c r="W56" s="226"/>
      <c r="X56" s="226"/>
      <c r="Y56" s="226"/>
      <c r="Z56" s="226"/>
      <c r="AA56" s="226"/>
      <c r="AB56" s="235" t="s">
        <v>163</v>
      </c>
      <c r="AC56" s="236">
        <f aca="true" t="shared" si="9" ref="AC56:AR56">SUM(AC50:AC55)+IF(AC48=0,AC49,AC48)</f>
        <v>0</v>
      </c>
      <c r="AD56" s="236">
        <f t="shared" si="9"/>
        <v>0</v>
      </c>
      <c r="AE56" s="236">
        <f t="shared" si="9"/>
        <v>0</v>
      </c>
      <c r="AF56" s="236">
        <f t="shared" si="9"/>
        <v>0</v>
      </c>
      <c r="AG56" s="236">
        <f t="shared" si="9"/>
        <v>0</v>
      </c>
      <c r="AH56" s="236">
        <f t="shared" si="9"/>
        <v>0</v>
      </c>
      <c r="AI56" s="236">
        <f t="shared" si="9"/>
        <v>0</v>
      </c>
      <c r="AJ56" s="236">
        <f t="shared" si="9"/>
        <v>0</v>
      </c>
      <c r="AK56" s="236">
        <f t="shared" si="9"/>
        <v>0</v>
      </c>
      <c r="AL56" s="236">
        <f t="shared" si="9"/>
        <v>0</v>
      </c>
      <c r="AM56" s="236">
        <f t="shared" si="9"/>
        <v>0</v>
      </c>
      <c r="AN56" s="236">
        <f t="shared" si="9"/>
        <v>0</v>
      </c>
      <c r="AO56" s="236">
        <f t="shared" si="9"/>
        <v>0</v>
      </c>
      <c r="AP56" s="236">
        <f t="shared" si="9"/>
        <v>0</v>
      </c>
      <c r="AQ56" s="236">
        <f t="shared" si="9"/>
        <v>0</v>
      </c>
      <c r="AR56" s="237">
        <f t="shared" si="9"/>
        <v>0</v>
      </c>
      <c r="AW56" s="284"/>
      <c r="AX56" s="284"/>
      <c r="AY56" s="284"/>
      <c r="AZ56" s="284"/>
      <c r="BA56" s="284"/>
      <c r="BB56" s="284"/>
    </row>
    <row r="57" spans="1:54" s="279" customFormat="1" ht="14.25" customHeight="1" hidden="1" thickBot="1">
      <c r="A57" s="274"/>
      <c r="B57" s="274"/>
      <c r="C57" s="274"/>
      <c r="D57" s="274"/>
      <c r="E57" s="274"/>
      <c r="F57" s="274"/>
      <c r="G57" s="275"/>
      <c r="H57" s="239"/>
      <c r="I57" s="255"/>
      <c r="J57" s="241"/>
      <c r="K57" s="241"/>
      <c r="L57" s="258"/>
      <c r="M57" s="255"/>
      <c r="N57" s="255"/>
      <c r="O57" s="242"/>
      <c r="P57" s="288"/>
      <c r="Q57" s="243"/>
      <c r="R57" s="243"/>
      <c r="S57" s="243"/>
      <c r="T57" s="243"/>
      <c r="U57" s="243"/>
      <c r="V57" s="243"/>
      <c r="W57" s="244"/>
      <c r="X57" s="244"/>
      <c r="Y57" s="244"/>
      <c r="Z57" s="244"/>
      <c r="AA57" s="244"/>
      <c r="AB57" s="245" t="s">
        <v>164</v>
      </c>
      <c r="AC57" s="246"/>
      <c r="AD57" s="246"/>
      <c r="AE57" s="246"/>
      <c r="AF57" s="246"/>
      <c r="AG57" s="246"/>
      <c r="AH57" s="246"/>
      <c r="AI57" s="246"/>
      <c r="AJ57" s="246"/>
      <c r="AK57" s="246"/>
      <c r="AL57" s="246"/>
      <c r="AM57" s="246"/>
      <c r="AN57" s="246"/>
      <c r="AO57" s="246"/>
      <c r="AP57" s="246"/>
      <c r="AQ57" s="247">
        <f aca="true" t="shared" si="10" ref="AQ57:AR63">+AC57+AE57+AG57+AI57+AK57+AM57+AO57</f>
        <v>0</v>
      </c>
      <c r="AR57" s="248">
        <f t="shared" si="10"/>
        <v>0</v>
      </c>
      <c r="AW57" s="284"/>
      <c r="AX57" s="284"/>
      <c r="AY57" s="284"/>
      <c r="AZ57" s="284"/>
      <c r="BA57" s="284"/>
      <c r="BB57" s="284"/>
    </row>
    <row r="58" spans="1:54" s="279" customFormat="1" ht="14.25" customHeight="1">
      <c r="A58" s="274" t="s">
        <v>184</v>
      </c>
      <c r="B58" s="274" t="s">
        <v>185</v>
      </c>
      <c r="C58" s="274" t="s">
        <v>146</v>
      </c>
      <c r="D58" s="274" t="s">
        <v>147</v>
      </c>
      <c r="E58" s="274" t="s">
        <v>61</v>
      </c>
      <c r="F58" s="274" t="s">
        <v>148</v>
      </c>
      <c r="G58" s="275">
        <v>9</v>
      </c>
      <c r="H58" s="214">
        <v>886</v>
      </c>
      <c r="I58" s="249" t="s">
        <v>47</v>
      </c>
      <c r="J58" s="216"/>
      <c r="K58" s="216" t="s">
        <v>48</v>
      </c>
      <c r="L58" s="256"/>
      <c r="M58" s="249"/>
      <c r="N58" s="249" t="s">
        <v>186</v>
      </c>
      <c r="O58" s="217">
        <v>0.3</v>
      </c>
      <c r="P58" s="277">
        <v>0.182</v>
      </c>
      <c r="Q58" s="218">
        <f>SUMIF('Actividades inversión 886'!$B$13:$B$50,'Metas inversión 886'!$B58,'Actividades inversión 886'!M$13:M$50)</f>
        <v>448463000</v>
      </c>
      <c r="R58" s="218">
        <f>SUMIF('Actividades inversión 886'!$B$13:$B$50,'Metas inversión 886'!$B58,'Actividades inversión 886'!N$13:N$50)</f>
        <v>495588000</v>
      </c>
      <c r="S58" s="218">
        <f>SUMIF('Actividades inversión 886'!$B$13:$B$50,'Metas inversión 886'!$B58,'Actividades inversión 886'!O$13:O$50)</f>
        <v>341362000</v>
      </c>
      <c r="T58" s="218">
        <f>SUMIF('Actividades inversión 886'!$B$13:$B$50,'Metas inversión 886'!$B58,'Actividades inversión 886'!P$13:P$50)</f>
        <v>69031166</v>
      </c>
      <c r="U58" s="218">
        <f>SUMIF('Actividades inversión 886'!$B$13:$B$50,'Metas inversión 886'!$B58,'Actividades inversión 886'!Q$13:Q$50)</f>
        <v>62680400</v>
      </c>
      <c r="V58" s="218">
        <f>SUMIF('Actividades inversión 886'!$B$13:$B$50,'Metas inversión 886'!$B58,'Actividades inversión 886'!R$13:R$50)</f>
        <v>55305500</v>
      </c>
      <c r="W58" s="290" t="s">
        <v>187</v>
      </c>
      <c r="X58" s="220" t="s">
        <v>188</v>
      </c>
      <c r="Y58" s="220" t="s">
        <v>189</v>
      </c>
      <c r="Z58" s="220"/>
      <c r="AA58" s="220"/>
      <c r="AB58" s="250" t="s">
        <v>149</v>
      </c>
      <c r="AC58" s="251"/>
      <c r="AD58" s="251"/>
      <c r="AE58" s="251"/>
      <c r="AF58" s="251"/>
      <c r="AG58" s="251"/>
      <c r="AH58" s="251"/>
      <c r="AI58" s="251"/>
      <c r="AJ58" s="251"/>
      <c r="AK58" s="251"/>
      <c r="AL58" s="251"/>
      <c r="AM58" s="251"/>
      <c r="AN58" s="251"/>
      <c r="AO58" s="251"/>
      <c r="AP58" s="251"/>
      <c r="AQ58" s="252">
        <f t="shared" si="10"/>
        <v>0</v>
      </c>
      <c r="AR58" s="253">
        <f t="shared" si="10"/>
        <v>0</v>
      </c>
      <c r="AW58" s="233">
        <f>+'[1]99-METROPOLITANO'!N110</f>
        <v>448463000</v>
      </c>
      <c r="AX58" s="233">
        <f>+'[1]99-METROPOLITANO'!O110</f>
        <v>495588000</v>
      </c>
      <c r="AY58" s="233">
        <f>+'[1]99-METROPOLITANO'!P110</f>
        <v>341362000</v>
      </c>
      <c r="AZ58" s="233">
        <f>+'[1]99-METROPOLITANO'!Q110</f>
        <v>69031166</v>
      </c>
      <c r="BA58" s="233">
        <f>+'[1]99-METROPOLITANO'!R110</f>
        <v>62680400</v>
      </c>
      <c r="BB58" s="233">
        <f>+'[1]99-METROPOLITANO'!S110</f>
        <v>55305500</v>
      </c>
    </row>
    <row r="59" spans="1:54" s="279" customFormat="1" ht="14.25" customHeight="1">
      <c r="A59" s="274"/>
      <c r="B59" s="274"/>
      <c r="C59" s="274"/>
      <c r="D59" s="274"/>
      <c r="E59" s="274"/>
      <c r="F59" s="274"/>
      <c r="G59" s="275"/>
      <c r="H59" s="221"/>
      <c r="I59" s="254"/>
      <c r="J59" s="223"/>
      <c r="K59" s="223"/>
      <c r="L59" s="257"/>
      <c r="M59" s="254"/>
      <c r="N59" s="254"/>
      <c r="O59" s="224"/>
      <c r="P59" s="281"/>
      <c r="Q59" s="225"/>
      <c r="R59" s="225"/>
      <c r="S59" s="225"/>
      <c r="T59" s="225"/>
      <c r="U59" s="225"/>
      <c r="V59" s="225"/>
      <c r="W59" s="226"/>
      <c r="X59" s="226"/>
      <c r="Y59" s="226"/>
      <c r="Z59" s="282"/>
      <c r="AA59" s="282"/>
      <c r="AB59" s="238" t="s">
        <v>150</v>
      </c>
      <c r="AC59" s="230"/>
      <c r="AD59" s="230"/>
      <c r="AE59" s="230"/>
      <c r="AF59" s="230"/>
      <c r="AG59" s="230"/>
      <c r="AH59" s="230"/>
      <c r="AI59" s="230"/>
      <c r="AJ59" s="230"/>
      <c r="AK59" s="230"/>
      <c r="AL59" s="230"/>
      <c r="AM59" s="230"/>
      <c r="AN59" s="230"/>
      <c r="AO59" s="230"/>
      <c r="AP59" s="230"/>
      <c r="AQ59" s="231">
        <f t="shared" si="10"/>
        <v>0</v>
      </c>
      <c r="AR59" s="232">
        <f t="shared" si="10"/>
        <v>0</v>
      </c>
      <c r="AW59" s="284"/>
      <c r="AX59" s="284"/>
      <c r="AY59" s="284"/>
      <c r="AZ59" s="284"/>
      <c r="BA59" s="284"/>
      <c r="BB59" s="284"/>
    </row>
    <row r="60" spans="1:54" s="279" customFormat="1" ht="14.25" customHeight="1">
      <c r="A60" s="274"/>
      <c r="B60" s="274"/>
      <c r="C60" s="274"/>
      <c r="D60" s="274"/>
      <c r="E60" s="274"/>
      <c r="F60" s="274"/>
      <c r="G60" s="275"/>
      <c r="H60" s="221"/>
      <c r="I60" s="254"/>
      <c r="J60" s="223"/>
      <c r="K60" s="223"/>
      <c r="L60" s="257"/>
      <c r="M60" s="254"/>
      <c r="N60" s="254"/>
      <c r="O60" s="224"/>
      <c r="P60" s="281"/>
      <c r="Q60" s="225"/>
      <c r="R60" s="225"/>
      <c r="S60" s="225"/>
      <c r="T60" s="225"/>
      <c r="U60" s="225"/>
      <c r="V60" s="225"/>
      <c r="W60" s="226"/>
      <c r="X60" s="226"/>
      <c r="Y60" s="226"/>
      <c r="Z60" s="282"/>
      <c r="AA60" s="282"/>
      <c r="AB60" s="238" t="s">
        <v>151</v>
      </c>
      <c r="AC60" s="230"/>
      <c r="AD60" s="230"/>
      <c r="AE60" s="230"/>
      <c r="AF60" s="230"/>
      <c r="AG60" s="230"/>
      <c r="AH60" s="230"/>
      <c r="AI60" s="230"/>
      <c r="AJ60" s="230"/>
      <c r="AK60" s="230"/>
      <c r="AL60" s="230"/>
      <c r="AM60" s="230"/>
      <c r="AN60" s="230"/>
      <c r="AO60" s="230"/>
      <c r="AP60" s="230"/>
      <c r="AQ60" s="231">
        <f t="shared" si="10"/>
        <v>0</v>
      </c>
      <c r="AR60" s="232">
        <f t="shared" si="10"/>
        <v>0</v>
      </c>
      <c r="AW60" s="284"/>
      <c r="AX60" s="284"/>
      <c r="AY60" s="284"/>
      <c r="AZ60" s="284"/>
      <c r="BA60" s="284"/>
      <c r="BB60" s="284"/>
    </row>
    <row r="61" spans="1:54" s="279" customFormat="1" ht="14.25" customHeight="1">
      <c r="A61" s="274"/>
      <c r="B61" s="274"/>
      <c r="C61" s="274"/>
      <c r="D61" s="274"/>
      <c r="E61" s="274"/>
      <c r="F61" s="274"/>
      <c r="G61" s="275"/>
      <c r="H61" s="221"/>
      <c r="I61" s="254"/>
      <c r="J61" s="223"/>
      <c r="K61" s="223"/>
      <c r="L61" s="257"/>
      <c r="M61" s="254"/>
      <c r="N61" s="254"/>
      <c r="O61" s="224"/>
      <c r="P61" s="281"/>
      <c r="Q61" s="225"/>
      <c r="R61" s="225"/>
      <c r="S61" s="225"/>
      <c r="T61" s="225"/>
      <c r="U61" s="225"/>
      <c r="V61" s="225"/>
      <c r="W61" s="226"/>
      <c r="X61" s="226"/>
      <c r="Y61" s="226"/>
      <c r="Z61" s="282"/>
      <c r="AA61" s="282"/>
      <c r="AB61" s="238" t="s">
        <v>152</v>
      </c>
      <c r="AC61" s="230"/>
      <c r="AD61" s="230"/>
      <c r="AE61" s="230"/>
      <c r="AF61" s="230"/>
      <c r="AG61" s="230"/>
      <c r="AH61" s="230"/>
      <c r="AI61" s="230"/>
      <c r="AJ61" s="230"/>
      <c r="AK61" s="230"/>
      <c r="AL61" s="230"/>
      <c r="AM61" s="230"/>
      <c r="AN61" s="230"/>
      <c r="AO61" s="230"/>
      <c r="AP61" s="230"/>
      <c r="AQ61" s="231">
        <f t="shared" si="10"/>
        <v>0</v>
      </c>
      <c r="AR61" s="232">
        <f t="shared" si="10"/>
        <v>0</v>
      </c>
      <c r="AW61" s="284"/>
      <c r="AX61" s="284"/>
      <c r="AY61" s="284"/>
      <c r="AZ61" s="284"/>
      <c r="BA61" s="284"/>
      <c r="BB61" s="284"/>
    </row>
    <row r="62" spans="1:54" s="279" customFormat="1" ht="14.25" customHeight="1">
      <c r="A62" s="274"/>
      <c r="B62" s="274"/>
      <c r="C62" s="274"/>
      <c r="D62" s="274"/>
      <c r="E62" s="274"/>
      <c r="F62" s="274"/>
      <c r="G62" s="275"/>
      <c r="H62" s="221"/>
      <c r="I62" s="254"/>
      <c r="J62" s="223"/>
      <c r="K62" s="223"/>
      <c r="L62" s="257"/>
      <c r="M62" s="254"/>
      <c r="N62" s="254"/>
      <c r="O62" s="224"/>
      <c r="P62" s="281"/>
      <c r="Q62" s="225"/>
      <c r="R62" s="225"/>
      <c r="S62" s="225"/>
      <c r="T62" s="225"/>
      <c r="U62" s="225"/>
      <c r="V62" s="225"/>
      <c r="W62" s="226"/>
      <c r="X62" s="226"/>
      <c r="Y62" s="226"/>
      <c r="Z62" s="282"/>
      <c r="AA62" s="282"/>
      <c r="AB62" s="238" t="s">
        <v>153</v>
      </c>
      <c r="AC62" s="230"/>
      <c r="AD62" s="230"/>
      <c r="AE62" s="230"/>
      <c r="AF62" s="230"/>
      <c r="AG62" s="230"/>
      <c r="AH62" s="230"/>
      <c r="AI62" s="230"/>
      <c r="AJ62" s="230"/>
      <c r="AK62" s="230"/>
      <c r="AL62" s="230"/>
      <c r="AM62" s="230"/>
      <c r="AN62" s="230"/>
      <c r="AO62" s="230"/>
      <c r="AP62" s="230"/>
      <c r="AQ62" s="231">
        <f t="shared" si="10"/>
        <v>0</v>
      </c>
      <c r="AR62" s="232">
        <f t="shared" si="10"/>
        <v>0</v>
      </c>
      <c r="AW62" s="284"/>
      <c r="AX62" s="284"/>
      <c r="AY62" s="284"/>
      <c r="AZ62" s="284"/>
      <c r="BA62" s="284"/>
      <c r="BB62" s="284"/>
    </row>
    <row r="63" spans="1:54" s="279" customFormat="1" ht="3.75" customHeight="1">
      <c r="A63" s="274"/>
      <c r="B63" s="274"/>
      <c r="C63" s="274"/>
      <c r="D63" s="274"/>
      <c r="E63" s="274"/>
      <c r="F63" s="274"/>
      <c r="G63" s="275"/>
      <c r="H63" s="221"/>
      <c r="I63" s="254"/>
      <c r="J63" s="223"/>
      <c r="K63" s="223"/>
      <c r="L63" s="257"/>
      <c r="M63" s="254"/>
      <c r="N63" s="254"/>
      <c r="O63" s="224"/>
      <c r="P63" s="281"/>
      <c r="Q63" s="225"/>
      <c r="R63" s="225"/>
      <c r="S63" s="225"/>
      <c r="T63" s="225"/>
      <c r="U63" s="225"/>
      <c r="V63" s="225"/>
      <c r="W63" s="226"/>
      <c r="X63" s="226"/>
      <c r="Y63" s="226"/>
      <c r="Z63" s="282"/>
      <c r="AA63" s="282"/>
      <c r="AB63" s="229" t="s">
        <v>154</v>
      </c>
      <c r="AC63" s="230"/>
      <c r="AD63" s="230"/>
      <c r="AE63" s="230"/>
      <c r="AF63" s="230"/>
      <c r="AG63" s="230"/>
      <c r="AH63" s="230"/>
      <c r="AI63" s="230"/>
      <c r="AJ63" s="230"/>
      <c r="AK63" s="230"/>
      <c r="AL63" s="230"/>
      <c r="AM63" s="230"/>
      <c r="AN63" s="230"/>
      <c r="AO63" s="230"/>
      <c r="AP63" s="230"/>
      <c r="AQ63" s="231">
        <f t="shared" si="10"/>
        <v>0</v>
      </c>
      <c r="AR63" s="232">
        <f t="shared" si="10"/>
        <v>0</v>
      </c>
      <c r="AW63" s="284"/>
      <c r="AX63" s="284"/>
      <c r="AY63" s="284"/>
      <c r="AZ63" s="284"/>
      <c r="BA63" s="284"/>
      <c r="BB63" s="284"/>
    </row>
    <row r="64" spans="1:54" s="279" customFormat="1" ht="14.25" customHeight="1" hidden="1">
      <c r="A64" s="274"/>
      <c r="B64" s="274"/>
      <c r="C64" s="274"/>
      <c r="D64" s="274"/>
      <c r="E64" s="274"/>
      <c r="F64" s="274"/>
      <c r="G64" s="275"/>
      <c r="H64" s="221"/>
      <c r="I64" s="254"/>
      <c r="J64" s="223"/>
      <c r="K64" s="223"/>
      <c r="L64" s="257"/>
      <c r="M64" s="254"/>
      <c r="N64" s="254"/>
      <c r="O64" s="224"/>
      <c r="P64" s="281"/>
      <c r="Q64" s="225"/>
      <c r="R64" s="225"/>
      <c r="S64" s="225"/>
      <c r="T64" s="225"/>
      <c r="U64" s="225"/>
      <c r="V64" s="225"/>
      <c r="W64" s="226"/>
      <c r="X64" s="226"/>
      <c r="Y64" s="226"/>
      <c r="Z64" s="282"/>
      <c r="AA64" s="282"/>
      <c r="AB64" s="235" t="s">
        <v>155</v>
      </c>
      <c r="AC64" s="236">
        <f aca="true" t="shared" si="11" ref="AC64:AR64">SUM(AC58:AC63)</f>
        <v>0</v>
      </c>
      <c r="AD64" s="236">
        <f t="shared" si="11"/>
        <v>0</v>
      </c>
      <c r="AE64" s="236">
        <f t="shared" si="11"/>
        <v>0</v>
      </c>
      <c r="AF64" s="236">
        <f t="shared" si="11"/>
        <v>0</v>
      </c>
      <c r="AG64" s="236">
        <f t="shared" si="11"/>
        <v>0</v>
      </c>
      <c r="AH64" s="236">
        <f t="shared" si="11"/>
        <v>0</v>
      </c>
      <c r="AI64" s="236">
        <f t="shared" si="11"/>
        <v>0</v>
      </c>
      <c r="AJ64" s="236">
        <f t="shared" si="11"/>
        <v>0</v>
      </c>
      <c r="AK64" s="236">
        <f t="shared" si="11"/>
        <v>0</v>
      </c>
      <c r="AL64" s="236">
        <f t="shared" si="11"/>
        <v>0</v>
      </c>
      <c r="AM64" s="236">
        <f t="shared" si="11"/>
        <v>0</v>
      </c>
      <c r="AN64" s="236">
        <f t="shared" si="11"/>
        <v>0</v>
      </c>
      <c r="AO64" s="236">
        <f t="shared" si="11"/>
        <v>0</v>
      </c>
      <c r="AP64" s="236">
        <f t="shared" si="11"/>
        <v>0</v>
      </c>
      <c r="AQ64" s="236">
        <f t="shared" si="11"/>
        <v>0</v>
      </c>
      <c r="AR64" s="237">
        <f t="shared" si="11"/>
        <v>0</v>
      </c>
      <c r="AW64" s="284"/>
      <c r="AX64" s="284"/>
      <c r="AY64" s="284"/>
      <c r="AZ64" s="284"/>
      <c r="BA64" s="284"/>
      <c r="BB64" s="284"/>
    </row>
    <row r="65" spans="1:54" s="279" customFormat="1" ht="14.25" customHeight="1" hidden="1">
      <c r="A65" s="274"/>
      <c r="B65" s="274"/>
      <c r="C65" s="274"/>
      <c r="D65" s="274"/>
      <c r="E65" s="274"/>
      <c r="F65" s="274"/>
      <c r="G65" s="275"/>
      <c r="H65" s="221"/>
      <c r="I65" s="254"/>
      <c r="J65" s="223"/>
      <c r="K65" s="223"/>
      <c r="L65" s="257"/>
      <c r="M65" s="254"/>
      <c r="N65" s="254"/>
      <c r="O65" s="224"/>
      <c r="P65" s="281"/>
      <c r="Q65" s="225"/>
      <c r="R65" s="225"/>
      <c r="S65" s="225"/>
      <c r="T65" s="225"/>
      <c r="U65" s="225"/>
      <c r="V65" s="225"/>
      <c r="W65" s="226"/>
      <c r="X65" s="226"/>
      <c r="Y65" s="226"/>
      <c r="Z65" s="282"/>
      <c r="AA65" s="282"/>
      <c r="AB65" s="238" t="s">
        <v>156</v>
      </c>
      <c r="AC65" s="230"/>
      <c r="AD65" s="230"/>
      <c r="AE65" s="230"/>
      <c r="AF65" s="230"/>
      <c r="AG65" s="230"/>
      <c r="AH65" s="230"/>
      <c r="AI65" s="230"/>
      <c r="AJ65" s="230"/>
      <c r="AK65" s="230"/>
      <c r="AL65" s="230"/>
      <c r="AM65" s="230"/>
      <c r="AN65" s="230"/>
      <c r="AO65" s="230"/>
      <c r="AP65" s="230"/>
      <c r="AQ65" s="231">
        <f>+AC65+AE65+AG65+AI65+AK65+AM65+AO65</f>
        <v>0</v>
      </c>
      <c r="AR65" s="232">
        <f aca="true" t="shared" si="12" ref="AR65:AR71">+AD65+AF65+AH65+AJ65+AL65+AN65+AP65</f>
        <v>0</v>
      </c>
      <c r="AW65" s="284"/>
      <c r="AX65" s="284"/>
      <c r="AY65" s="284"/>
      <c r="AZ65" s="284"/>
      <c r="BA65" s="284"/>
      <c r="BB65" s="284"/>
    </row>
    <row r="66" spans="1:54" s="279" customFormat="1" ht="14.25" customHeight="1" hidden="1">
      <c r="A66" s="274"/>
      <c r="B66" s="274"/>
      <c r="C66" s="274"/>
      <c r="D66" s="274"/>
      <c r="E66" s="274"/>
      <c r="F66" s="274"/>
      <c r="G66" s="275"/>
      <c r="H66" s="221"/>
      <c r="I66" s="254"/>
      <c r="J66" s="223"/>
      <c r="K66" s="223"/>
      <c r="L66" s="257"/>
      <c r="M66" s="254"/>
      <c r="N66" s="254"/>
      <c r="O66" s="224"/>
      <c r="P66" s="281"/>
      <c r="Q66" s="225"/>
      <c r="R66" s="225"/>
      <c r="S66" s="225"/>
      <c r="T66" s="225"/>
      <c r="U66" s="225"/>
      <c r="V66" s="225"/>
      <c r="W66" s="226"/>
      <c r="X66" s="226"/>
      <c r="Y66" s="291" t="s">
        <v>190</v>
      </c>
      <c r="Z66" s="285" t="s">
        <v>191</v>
      </c>
      <c r="AA66" s="282"/>
      <c r="AB66" s="238" t="s">
        <v>157</v>
      </c>
      <c r="AC66" s="230"/>
      <c r="AD66" s="230"/>
      <c r="AE66" s="230"/>
      <c r="AF66" s="230"/>
      <c r="AG66" s="230"/>
      <c r="AH66" s="230"/>
      <c r="AI66" s="230"/>
      <c r="AJ66" s="230"/>
      <c r="AK66" s="230"/>
      <c r="AL66" s="230"/>
      <c r="AM66" s="230"/>
      <c r="AN66" s="230"/>
      <c r="AO66" s="230"/>
      <c r="AP66" s="230"/>
      <c r="AQ66" s="231">
        <f aca="true" t="shared" si="13" ref="AQ66:AQ71">+AC66+AE66+AG66+AI66+AK66+AM66+AO66</f>
        <v>0</v>
      </c>
      <c r="AR66" s="232">
        <f t="shared" si="12"/>
        <v>0</v>
      </c>
      <c r="AW66" s="284"/>
      <c r="AX66" s="284"/>
      <c r="AY66" s="284"/>
      <c r="AZ66" s="284"/>
      <c r="BA66" s="284"/>
      <c r="BB66" s="284"/>
    </row>
    <row r="67" spans="1:54" s="279" customFormat="1" ht="14.25" customHeight="1" hidden="1">
      <c r="A67" s="274"/>
      <c r="B67" s="274"/>
      <c r="C67" s="274"/>
      <c r="D67" s="274"/>
      <c r="E67" s="274"/>
      <c r="F67" s="274"/>
      <c r="G67" s="275"/>
      <c r="H67" s="221"/>
      <c r="I67" s="254"/>
      <c r="J67" s="223"/>
      <c r="K67" s="223"/>
      <c r="L67" s="257"/>
      <c r="M67" s="254"/>
      <c r="N67" s="254"/>
      <c r="O67" s="224"/>
      <c r="P67" s="281"/>
      <c r="Q67" s="225"/>
      <c r="R67" s="225"/>
      <c r="S67" s="225"/>
      <c r="T67" s="225"/>
      <c r="U67" s="225"/>
      <c r="V67" s="225"/>
      <c r="W67" s="226"/>
      <c r="X67" s="226"/>
      <c r="Y67" s="292"/>
      <c r="Z67" s="286"/>
      <c r="AA67" s="282"/>
      <c r="AB67" s="229" t="s">
        <v>158</v>
      </c>
      <c r="AC67" s="230"/>
      <c r="AD67" s="230"/>
      <c r="AE67" s="230"/>
      <c r="AF67" s="230"/>
      <c r="AG67" s="230"/>
      <c r="AH67" s="230"/>
      <c r="AI67" s="230"/>
      <c r="AJ67" s="230"/>
      <c r="AK67" s="230"/>
      <c r="AL67" s="230"/>
      <c r="AM67" s="230"/>
      <c r="AN67" s="230"/>
      <c r="AO67" s="230"/>
      <c r="AP67" s="230"/>
      <c r="AQ67" s="231">
        <f t="shared" si="13"/>
        <v>0</v>
      </c>
      <c r="AR67" s="232">
        <f t="shared" si="12"/>
        <v>0</v>
      </c>
      <c r="AW67" s="284"/>
      <c r="AX67" s="284"/>
      <c r="AY67" s="284"/>
      <c r="AZ67" s="284"/>
      <c r="BA67" s="284"/>
      <c r="BB67" s="284"/>
    </row>
    <row r="68" spans="1:54" s="279" customFormat="1" ht="14.25" customHeight="1" hidden="1">
      <c r="A68" s="274"/>
      <c r="B68" s="274"/>
      <c r="C68" s="274"/>
      <c r="D68" s="274"/>
      <c r="E68" s="274"/>
      <c r="F68" s="274"/>
      <c r="G68" s="275"/>
      <c r="H68" s="221"/>
      <c r="I68" s="254"/>
      <c r="J68" s="223"/>
      <c r="K68" s="223"/>
      <c r="L68" s="257"/>
      <c r="M68" s="254"/>
      <c r="N68" s="254"/>
      <c r="O68" s="224"/>
      <c r="P68" s="281"/>
      <c r="Q68" s="225"/>
      <c r="R68" s="225"/>
      <c r="S68" s="225"/>
      <c r="T68" s="225"/>
      <c r="U68" s="225"/>
      <c r="V68" s="225"/>
      <c r="W68" s="226"/>
      <c r="X68" s="226"/>
      <c r="Y68" s="292"/>
      <c r="Z68" s="286"/>
      <c r="AA68" s="282"/>
      <c r="AB68" s="229" t="s">
        <v>159</v>
      </c>
      <c r="AC68" s="230"/>
      <c r="AD68" s="230"/>
      <c r="AE68" s="230"/>
      <c r="AF68" s="230"/>
      <c r="AG68" s="230"/>
      <c r="AH68" s="230"/>
      <c r="AI68" s="230"/>
      <c r="AJ68" s="230"/>
      <c r="AK68" s="230"/>
      <c r="AL68" s="230"/>
      <c r="AM68" s="230"/>
      <c r="AN68" s="230"/>
      <c r="AO68" s="230"/>
      <c r="AP68" s="230"/>
      <c r="AQ68" s="231">
        <f t="shared" si="13"/>
        <v>0</v>
      </c>
      <c r="AR68" s="232">
        <f t="shared" si="12"/>
        <v>0</v>
      </c>
      <c r="AW68" s="284"/>
      <c r="AX68" s="284"/>
      <c r="AY68" s="284"/>
      <c r="AZ68" s="284"/>
      <c r="BA68" s="284"/>
      <c r="BB68" s="284"/>
    </row>
    <row r="69" spans="1:54" s="279" customFormat="1" ht="14.25" customHeight="1" hidden="1">
      <c r="A69" s="274"/>
      <c r="B69" s="274"/>
      <c r="C69" s="274"/>
      <c r="D69" s="274"/>
      <c r="E69" s="274"/>
      <c r="F69" s="274"/>
      <c r="G69" s="275"/>
      <c r="H69" s="221"/>
      <c r="I69" s="254"/>
      <c r="J69" s="223"/>
      <c r="K69" s="223"/>
      <c r="L69" s="257"/>
      <c r="M69" s="254"/>
      <c r="N69" s="254"/>
      <c r="O69" s="224"/>
      <c r="P69" s="281"/>
      <c r="Q69" s="225"/>
      <c r="R69" s="225"/>
      <c r="S69" s="225"/>
      <c r="T69" s="225"/>
      <c r="U69" s="225"/>
      <c r="V69" s="225"/>
      <c r="W69" s="226"/>
      <c r="X69" s="226"/>
      <c r="Y69" s="292"/>
      <c r="Z69" s="286"/>
      <c r="AA69" s="282"/>
      <c r="AB69" s="229" t="s">
        <v>160</v>
      </c>
      <c r="AC69" s="230"/>
      <c r="AD69" s="230"/>
      <c r="AE69" s="230"/>
      <c r="AF69" s="230"/>
      <c r="AG69" s="230"/>
      <c r="AH69" s="230"/>
      <c r="AI69" s="230"/>
      <c r="AJ69" s="230"/>
      <c r="AK69" s="230"/>
      <c r="AL69" s="230"/>
      <c r="AM69" s="230"/>
      <c r="AN69" s="230"/>
      <c r="AO69" s="230"/>
      <c r="AP69" s="230"/>
      <c r="AQ69" s="231">
        <f t="shared" si="13"/>
        <v>0</v>
      </c>
      <c r="AR69" s="232">
        <f t="shared" si="12"/>
        <v>0</v>
      </c>
      <c r="AW69" s="284"/>
      <c r="AX69" s="284"/>
      <c r="AY69" s="284"/>
      <c r="AZ69" s="284"/>
      <c r="BA69" s="284"/>
      <c r="BB69" s="284"/>
    </row>
    <row r="70" spans="1:54" s="279" customFormat="1" ht="14.25" customHeight="1" hidden="1">
      <c r="A70" s="274"/>
      <c r="B70" s="274"/>
      <c r="C70" s="274"/>
      <c r="D70" s="274"/>
      <c r="E70" s="274"/>
      <c r="F70" s="274"/>
      <c r="G70" s="275"/>
      <c r="H70" s="221"/>
      <c r="I70" s="254"/>
      <c r="J70" s="223"/>
      <c r="K70" s="223"/>
      <c r="L70" s="257"/>
      <c r="M70" s="254"/>
      <c r="N70" s="254"/>
      <c r="O70" s="224"/>
      <c r="P70" s="281"/>
      <c r="Q70" s="225"/>
      <c r="R70" s="225"/>
      <c r="S70" s="225"/>
      <c r="T70" s="225"/>
      <c r="U70" s="225"/>
      <c r="V70" s="225"/>
      <c r="W70" s="226"/>
      <c r="X70" s="226"/>
      <c r="Y70" s="292"/>
      <c r="Z70" s="286"/>
      <c r="AA70" s="282"/>
      <c r="AB70" s="229" t="s">
        <v>161</v>
      </c>
      <c r="AC70" s="230"/>
      <c r="AD70" s="230"/>
      <c r="AE70" s="230"/>
      <c r="AF70" s="230"/>
      <c r="AG70" s="230"/>
      <c r="AH70" s="230"/>
      <c r="AI70" s="230"/>
      <c r="AJ70" s="230"/>
      <c r="AK70" s="230"/>
      <c r="AL70" s="230"/>
      <c r="AM70" s="230"/>
      <c r="AN70" s="230"/>
      <c r="AO70" s="230"/>
      <c r="AP70" s="230"/>
      <c r="AQ70" s="231">
        <f t="shared" si="13"/>
        <v>0</v>
      </c>
      <c r="AR70" s="232">
        <f t="shared" si="12"/>
        <v>0</v>
      </c>
      <c r="AW70" s="284"/>
      <c r="AX70" s="284"/>
      <c r="AY70" s="284"/>
      <c r="AZ70" s="284"/>
      <c r="BA70" s="284"/>
      <c r="BB70" s="284"/>
    </row>
    <row r="71" spans="1:54" s="279" customFormat="1" ht="14.25" customHeight="1" hidden="1">
      <c r="A71" s="274"/>
      <c r="B71" s="274"/>
      <c r="C71" s="274"/>
      <c r="D71" s="274"/>
      <c r="E71" s="274"/>
      <c r="F71" s="274"/>
      <c r="G71" s="275"/>
      <c r="H71" s="221"/>
      <c r="I71" s="254"/>
      <c r="J71" s="223"/>
      <c r="K71" s="223"/>
      <c r="L71" s="257"/>
      <c r="M71" s="254"/>
      <c r="N71" s="254"/>
      <c r="O71" s="224"/>
      <c r="P71" s="281"/>
      <c r="Q71" s="225"/>
      <c r="R71" s="225"/>
      <c r="S71" s="225"/>
      <c r="T71" s="225"/>
      <c r="U71" s="225"/>
      <c r="V71" s="225"/>
      <c r="W71" s="226"/>
      <c r="X71" s="226"/>
      <c r="Y71" s="292"/>
      <c r="Z71" s="286"/>
      <c r="AA71" s="282"/>
      <c r="AB71" s="229" t="s">
        <v>162</v>
      </c>
      <c r="AC71" s="230"/>
      <c r="AD71" s="230"/>
      <c r="AE71" s="230"/>
      <c r="AF71" s="230"/>
      <c r="AG71" s="230"/>
      <c r="AH71" s="230"/>
      <c r="AI71" s="230"/>
      <c r="AJ71" s="230"/>
      <c r="AK71" s="230"/>
      <c r="AL71" s="230"/>
      <c r="AM71" s="230"/>
      <c r="AN71" s="230"/>
      <c r="AO71" s="230"/>
      <c r="AP71" s="230"/>
      <c r="AQ71" s="231">
        <f t="shared" si="13"/>
        <v>0</v>
      </c>
      <c r="AR71" s="232">
        <f t="shared" si="12"/>
        <v>0</v>
      </c>
      <c r="AW71" s="284"/>
      <c r="AX71" s="284"/>
      <c r="AY71" s="284"/>
      <c r="AZ71" s="284"/>
      <c r="BA71" s="284"/>
      <c r="BB71" s="284"/>
    </row>
    <row r="72" spans="1:54" s="279" customFormat="1" ht="14.25" customHeight="1" hidden="1">
      <c r="A72" s="274"/>
      <c r="B72" s="274"/>
      <c r="C72" s="274"/>
      <c r="D72" s="274"/>
      <c r="E72" s="274"/>
      <c r="F72" s="274"/>
      <c r="G72" s="275"/>
      <c r="H72" s="221"/>
      <c r="I72" s="254"/>
      <c r="J72" s="223"/>
      <c r="K72" s="223"/>
      <c r="L72" s="257"/>
      <c r="M72" s="254"/>
      <c r="N72" s="254"/>
      <c r="O72" s="224"/>
      <c r="P72" s="281"/>
      <c r="Q72" s="225"/>
      <c r="R72" s="225"/>
      <c r="S72" s="225"/>
      <c r="T72" s="225"/>
      <c r="U72" s="225"/>
      <c r="V72" s="225"/>
      <c r="W72" s="226"/>
      <c r="X72" s="226"/>
      <c r="Y72" s="292"/>
      <c r="Z72" s="286"/>
      <c r="AA72" s="282"/>
      <c r="AB72" s="235" t="s">
        <v>163</v>
      </c>
      <c r="AC72" s="236">
        <f aca="true" t="shared" si="14" ref="AC72:AR72">SUM(AC66:AC71)+IF(AC64=0,AC65,AC64)</f>
        <v>0</v>
      </c>
      <c r="AD72" s="236">
        <f t="shared" si="14"/>
        <v>0</v>
      </c>
      <c r="AE72" s="236">
        <f t="shared" si="14"/>
        <v>0</v>
      </c>
      <c r="AF72" s="236">
        <f t="shared" si="14"/>
        <v>0</v>
      </c>
      <c r="AG72" s="236">
        <f t="shared" si="14"/>
        <v>0</v>
      </c>
      <c r="AH72" s="236">
        <f t="shared" si="14"/>
        <v>0</v>
      </c>
      <c r="AI72" s="236">
        <f t="shared" si="14"/>
        <v>0</v>
      </c>
      <c r="AJ72" s="236">
        <f t="shared" si="14"/>
        <v>0</v>
      </c>
      <c r="AK72" s="236">
        <f t="shared" si="14"/>
        <v>0</v>
      </c>
      <c r="AL72" s="236">
        <f t="shared" si="14"/>
        <v>0</v>
      </c>
      <c r="AM72" s="236">
        <f t="shared" si="14"/>
        <v>0</v>
      </c>
      <c r="AN72" s="236">
        <f t="shared" si="14"/>
        <v>0</v>
      </c>
      <c r="AO72" s="236">
        <f t="shared" si="14"/>
        <v>0</v>
      </c>
      <c r="AP72" s="236">
        <f t="shared" si="14"/>
        <v>0</v>
      </c>
      <c r="AQ72" s="236">
        <f t="shared" si="14"/>
        <v>0</v>
      </c>
      <c r="AR72" s="237">
        <f t="shared" si="14"/>
        <v>0</v>
      </c>
      <c r="AW72" s="284"/>
      <c r="AX72" s="284"/>
      <c r="AY72" s="284"/>
      <c r="AZ72" s="284"/>
      <c r="BA72" s="284"/>
      <c r="BB72" s="284"/>
    </row>
    <row r="73" spans="1:54" s="279" customFormat="1" ht="14.25" customHeight="1" hidden="1" thickBot="1">
      <c r="A73" s="274"/>
      <c r="B73" s="274"/>
      <c r="C73" s="274"/>
      <c r="D73" s="274"/>
      <c r="E73" s="274"/>
      <c r="F73" s="274"/>
      <c r="G73" s="275"/>
      <c r="H73" s="239"/>
      <c r="I73" s="255"/>
      <c r="J73" s="241"/>
      <c r="K73" s="241"/>
      <c r="L73" s="258"/>
      <c r="M73" s="255"/>
      <c r="N73" s="255"/>
      <c r="O73" s="242"/>
      <c r="P73" s="288"/>
      <c r="Q73" s="243"/>
      <c r="R73" s="243"/>
      <c r="S73" s="243"/>
      <c r="T73" s="243"/>
      <c r="U73" s="243"/>
      <c r="V73" s="243"/>
      <c r="W73" s="244"/>
      <c r="X73" s="244"/>
      <c r="Y73" s="292"/>
      <c r="Z73" s="286"/>
      <c r="AA73" s="289"/>
      <c r="AB73" s="245" t="s">
        <v>164</v>
      </c>
      <c r="AC73" s="246"/>
      <c r="AD73" s="246"/>
      <c r="AE73" s="246"/>
      <c r="AF73" s="246"/>
      <c r="AG73" s="246"/>
      <c r="AH73" s="246"/>
      <c r="AI73" s="246"/>
      <c r="AJ73" s="246"/>
      <c r="AK73" s="246"/>
      <c r="AL73" s="246"/>
      <c r="AM73" s="246"/>
      <c r="AN73" s="246"/>
      <c r="AO73" s="246"/>
      <c r="AP73" s="246"/>
      <c r="AQ73" s="247">
        <f>+AC73+AE73+AG73+AI73+AK73+AM73+AO73</f>
        <v>0</v>
      </c>
      <c r="AR73" s="248">
        <f>+AD73+AF73+AH73+AJ73+AL73+AN73+AP73</f>
        <v>0</v>
      </c>
      <c r="AW73" s="284"/>
      <c r="AX73" s="284"/>
      <c r="AY73" s="284"/>
      <c r="AZ73" s="284"/>
      <c r="BA73" s="284"/>
      <c r="BB73" s="284"/>
    </row>
    <row r="74" spans="7:54" s="293" customFormat="1" ht="14.25" customHeight="1">
      <c r="G74" s="294"/>
      <c r="H74" s="294"/>
      <c r="I74" s="294"/>
      <c r="J74" s="294"/>
      <c r="K74" s="294"/>
      <c r="L74" s="294"/>
      <c r="M74" s="294"/>
      <c r="N74" s="294"/>
      <c r="O74" s="294"/>
      <c r="P74" s="295"/>
      <c r="Q74" s="296">
        <f>SUBTOTAL(9,Q16:Q73)</f>
        <v>723310000</v>
      </c>
      <c r="R74" s="297">
        <f>SUBTOTAL(9,R16:R73)</f>
        <v>740956000</v>
      </c>
      <c r="S74" s="297">
        <f>SUBTOTAL(9,S16:S73)</f>
        <v>495303000</v>
      </c>
      <c r="T74" s="297">
        <f>SUBTOTAL(9,T16:T73)</f>
        <v>113157099</v>
      </c>
      <c r="U74" s="297">
        <f>SUBTOTAL(9,U16:U73)</f>
        <v>100946067</v>
      </c>
      <c r="V74" s="297">
        <f>SUBTOTAL(9,V16:V73)</f>
        <v>93571167</v>
      </c>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W74" s="297">
        <f>SUM(AW16:AW73)</f>
        <v>723310000</v>
      </c>
      <c r="AX74" s="297">
        <f>SUM(AX16:AX73)</f>
        <v>740956000</v>
      </c>
      <c r="AY74" s="297">
        <f>SUM(AY16:AY73)</f>
        <v>495303000</v>
      </c>
      <c r="AZ74" s="297">
        <f>SUM(AZ16:AZ73)</f>
        <v>113157099</v>
      </c>
      <c r="BA74" s="297">
        <f>SUM(BA16:BA73)</f>
        <v>100946067</v>
      </c>
      <c r="BB74" s="297">
        <f>SUM(BB16:BB73)</f>
        <v>93571167</v>
      </c>
    </row>
    <row r="75" spans="17:54" ht="14.25" customHeight="1">
      <c r="Q75" s="298"/>
      <c r="R75" s="298"/>
      <c r="S75" s="298"/>
      <c r="T75" s="298"/>
      <c r="U75" s="298"/>
      <c r="V75" s="298"/>
      <c r="AB75" s="7"/>
      <c r="AC75" s="7"/>
      <c r="AD75" s="7"/>
      <c r="AE75" s="7"/>
      <c r="AF75" s="7"/>
      <c r="AG75" s="7"/>
      <c r="AH75" s="7"/>
      <c r="AI75" s="7"/>
      <c r="AJ75" s="7"/>
      <c r="AK75" s="7"/>
      <c r="AL75" s="7"/>
      <c r="AM75" s="7"/>
      <c r="AN75" s="7"/>
      <c r="AO75" s="7"/>
      <c r="AP75" s="7"/>
      <c r="AQ75" s="7"/>
      <c r="AR75" s="7"/>
      <c r="AS75" s="7"/>
      <c r="AT75" s="7"/>
      <c r="AU75" s="7"/>
      <c r="AV75" s="7"/>
      <c r="AW75" s="7"/>
      <c r="AX75" s="233"/>
      <c r="AY75" s="233"/>
      <c r="AZ75" s="233"/>
      <c r="BA75" s="233"/>
      <c r="BB75" s="233"/>
    </row>
    <row r="76" spans="17:49" ht="14.25" customHeight="1">
      <c r="Q76" s="299"/>
      <c r="R76" s="299"/>
      <c r="S76" s="299"/>
      <c r="T76" s="299"/>
      <c r="U76" s="299"/>
      <c r="V76" s="299"/>
      <c r="AB76" s="7"/>
      <c r="AC76" s="7"/>
      <c r="AD76" s="7"/>
      <c r="AE76" s="7"/>
      <c r="AF76" s="7"/>
      <c r="AG76" s="7"/>
      <c r="AH76" s="7"/>
      <c r="AI76" s="7"/>
      <c r="AJ76" s="7"/>
      <c r="AK76" s="7"/>
      <c r="AL76" s="7"/>
      <c r="AM76" s="7"/>
      <c r="AN76" s="7"/>
      <c r="AO76" s="7"/>
      <c r="AP76" s="7"/>
      <c r="AQ76" s="7"/>
      <c r="AR76" s="7"/>
      <c r="AS76" s="7"/>
      <c r="AT76" s="7"/>
      <c r="AU76" s="7"/>
      <c r="AV76" s="7"/>
      <c r="AW76" s="7"/>
    </row>
    <row r="77" spans="20:49" ht="14.25" customHeight="1">
      <c r="T77" s="300"/>
      <c r="AB77" s="7"/>
      <c r="AC77" s="7"/>
      <c r="AD77" s="7"/>
      <c r="AE77" s="7"/>
      <c r="AF77" s="7"/>
      <c r="AG77" s="7"/>
      <c r="AH77" s="7"/>
      <c r="AI77" s="7"/>
      <c r="AJ77" s="7"/>
      <c r="AK77" s="7"/>
      <c r="AL77" s="7"/>
      <c r="AM77" s="7"/>
      <c r="AN77" s="7"/>
      <c r="AO77" s="7"/>
      <c r="AP77" s="7"/>
      <c r="AQ77" s="7"/>
      <c r="AR77" s="7"/>
      <c r="AS77" s="7"/>
      <c r="AT77" s="7"/>
      <c r="AU77" s="7"/>
      <c r="AV77" s="7"/>
      <c r="AW77" s="7"/>
    </row>
    <row r="78" spans="18:49" ht="14.25" customHeight="1">
      <c r="R78" s="301"/>
      <c r="V78" s="299"/>
      <c r="AB78" s="7"/>
      <c r="AC78" s="7"/>
      <c r="AD78" s="7"/>
      <c r="AE78" s="7"/>
      <c r="AF78" s="7"/>
      <c r="AG78" s="7"/>
      <c r="AH78" s="7"/>
      <c r="AI78" s="7"/>
      <c r="AJ78" s="7"/>
      <c r="AK78" s="7"/>
      <c r="AL78" s="7"/>
      <c r="AM78" s="7"/>
      <c r="AN78" s="7"/>
      <c r="AO78" s="7"/>
      <c r="AP78" s="7"/>
      <c r="AQ78" s="7"/>
      <c r="AR78" s="7"/>
      <c r="AS78" s="7"/>
      <c r="AT78" s="7"/>
      <c r="AU78" s="7"/>
      <c r="AV78" s="7"/>
      <c r="AW78" s="7"/>
    </row>
    <row r="79" spans="28:49" ht="14.25" customHeight="1">
      <c r="AB79" s="7"/>
      <c r="AC79" s="7"/>
      <c r="AD79" s="7"/>
      <c r="AE79" s="7"/>
      <c r="AF79" s="7"/>
      <c r="AG79" s="7"/>
      <c r="AH79" s="7"/>
      <c r="AI79" s="7"/>
      <c r="AJ79" s="7"/>
      <c r="AK79" s="7"/>
      <c r="AL79" s="7"/>
      <c r="AM79" s="7"/>
      <c r="AN79" s="7"/>
      <c r="AO79" s="7"/>
      <c r="AP79" s="7"/>
      <c r="AQ79" s="7"/>
      <c r="AR79" s="7"/>
      <c r="AS79" s="7"/>
      <c r="AT79" s="7"/>
      <c r="AU79" s="7"/>
      <c r="AV79" s="7"/>
      <c r="AW79" s="7"/>
    </row>
    <row r="80" spans="18:49" ht="14.25" customHeight="1">
      <c r="R80" s="302"/>
      <c r="S80" s="303"/>
      <c r="T80" s="7"/>
      <c r="AB80" s="7"/>
      <c r="AC80" s="7"/>
      <c r="AD80" s="7"/>
      <c r="AE80" s="7"/>
      <c r="AF80" s="7"/>
      <c r="AG80" s="7"/>
      <c r="AH80" s="7"/>
      <c r="AI80" s="7"/>
      <c r="AJ80" s="7"/>
      <c r="AK80" s="7"/>
      <c r="AL80" s="7"/>
      <c r="AM80" s="7"/>
      <c r="AN80" s="7"/>
      <c r="AO80" s="7"/>
      <c r="AP80" s="7"/>
      <c r="AQ80" s="7"/>
      <c r="AR80" s="7"/>
      <c r="AS80" s="7"/>
      <c r="AT80" s="7"/>
      <c r="AU80" s="7"/>
      <c r="AV80" s="7"/>
      <c r="AW80" s="7"/>
    </row>
    <row r="81" spans="18:49" ht="14.25" customHeight="1">
      <c r="R81" s="302"/>
      <c r="S81" s="303"/>
      <c r="AB81" s="7"/>
      <c r="AC81" s="7"/>
      <c r="AD81" s="7"/>
      <c r="AE81" s="7"/>
      <c r="AF81" s="7"/>
      <c r="AG81" s="7"/>
      <c r="AH81" s="7"/>
      <c r="AI81" s="7"/>
      <c r="AJ81" s="7"/>
      <c r="AK81" s="7"/>
      <c r="AL81" s="7"/>
      <c r="AM81" s="7"/>
      <c r="AN81" s="7"/>
      <c r="AO81" s="7"/>
      <c r="AP81" s="7"/>
      <c r="AQ81" s="7"/>
      <c r="AR81" s="7"/>
      <c r="AS81" s="7"/>
      <c r="AT81" s="7"/>
      <c r="AU81" s="7"/>
      <c r="AV81" s="7"/>
      <c r="AW81" s="7"/>
    </row>
    <row r="82" spans="18:49" ht="14.25" customHeight="1">
      <c r="R82" s="302"/>
      <c r="S82" s="303"/>
      <c r="AB82" s="7"/>
      <c r="AC82" s="7"/>
      <c r="AD82" s="7"/>
      <c r="AE82" s="7"/>
      <c r="AF82" s="7"/>
      <c r="AG82" s="7"/>
      <c r="AH82" s="7"/>
      <c r="AI82" s="7"/>
      <c r="AJ82" s="7"/>
      <c r="AK82" s="7"/>
      <c r="AL82" s="7"/>
      <c r="AM82" s="7"/>
      <c r="AN82" s="7"/>
      <c r="AO82" s="7"/>
      <c r="AP82" s="7"/>
      <c r="AQ82" s="7"/>
      <c r="AR82" s="7"/>
      <c r="AS82" s="7"/>
      <c r="AT82" s="7"/>
      <c r="AU82" s="7"/>
      <c r="AV82" s="7"/>
      <c r="AW82" s="7"/>
    </row>
    <row r="83" spans="18:49" ht="14.25" customHeight="1">
      <c r="R83" s="302"/>
      <c r="S83" s="303"/>
      <c r="AB83" s="7"/>
      <c r="AC83" s="7"/>
      <c r="AD83" s="7"/>
      <c r="AE83" s="7"/>
      <c r="AF83" s="7"/>
      <c r="AG83" s="7"/>
      <c r="AH83" s="7"/>
      <c r="AI83" s="7"/>
      <c r="AJ83" s="7"/>
      <c r="AK83" s="7"/>
      <c r="AL83" s="7"/>
      <c r="AM83" s="7"/>
      <c r="AN83" s="7"/>
      <c r="AO83" s="7"/>
      <c r="AP83" s="7"/>
      <c r="AQ83" s="7"/>
      <c r="AR83" s="7"/>
      <c r="AS83" s="7"/>
      <c r="AT83" s="7"/>
      <c r="AU83" s="7"/>
      <c r="AV83" s="7"/>
      <c r="AW83" s="7"/>
    </row>
    <row r="84" spans="18:49" ht="14.25" customHeight="1">
      <c r="R84" s="302"/>
      <c r="S84" s="303"/>
      <c r="AB84" s="7"/>
      <c r="AC84" s="7"/>
      <c r="AD84" s="7"/>
      <c r="AE84" s="7"/>
      <c r="AF84" s="7"/>
      <c r="AG84" s="7"/>
      <c r="AH84" s="7"/>
      <c r="AI84" s="7"/>
      <c r="AJ84" s="7"/>
      <c r="AK84" s="7"/>
      <c r="AL84" s="7"/>
      <c r="AM84" s="7"/>
      <c r="AN84" s="7"/>
      <c r="AO84" s="7"/>
      <c r="AP84" s="7"/>
      <c r="AQ84" s="7"/>
      <c r="AR84" s="7"/>
      <c r="AS84" s="7"/>
      <c r="AT84" s="7"/>
      <c r="AU84" s="7"/>
      <c r="AV84" s="7"/>
      <c r="AW84" s="7"/>
    </row>
    <row r="85" spans="18:49" ht="14.25" customHeight="1">
      <c r="R85" s="302"/>
      <c r="S85" s="303"/>
      <c r="U85" s="301"/>
      <c r="AB85" s="7"/>
      <c r="AC85" s="7"/>
      <c r="AD85" s="7"/>
      <c r="AE85" s="7"/>
      <c r="AF85" s="7"/>
      <c r="AG85" s="7"/>
      <c r="AH85" s="7"/>
      <c r="AI85" s="7"/>
      <c r="AJ85" s="7"/>
      <c r="AK85" s="7"/>
      <c r="AL85" s="7"/>
      <c r="AM85" s="7"/>
      <c r="AN85" s="7"/>
      <c r="AO85" s="7"/>
      <c r="AP85" s="7"/>
      <c r="AQ85" s="7"/>
      <c r="AR85" s="7"/>
      <c r="AS85" s="7"/>
      <c r="AT85" s="7"/>
      <c r="AU85" s="7"/>
      <c r="AV85" s="7"/>
      <c r="AW85" s="7"/>
    </row>
    <row r="86" spans="18:49" ht="14.25" customHeight="1">
      <c r="R86" s="302"/>
      <c r="S86" s="303"/>
      <c r="U86" s="301"/>
      <c r="V86" s="304"/>
      <c r="X86" s="305"/>
      <c r="AB86" s="7"/>
      <c r="AC86" s="7"/>
      <c r="AD86" s="7"/>
      <c r="AE86" s="7"/>
      <c r="AF86" s="7"/>
      <c r="AG86" s="7"/>
      <c r="AH86" s="7"/>
      <c r="AI86" s="7"/>
      <c r="AJ86" s="7"/>
      <c r="AK86" s="7"/>
      <c r="AL86" s="7"/>
      <c r="AM86" s="7"/>
      <c r="AN86" s="7"/>
      <c r="AO86" s="7"/>
      <c r="AP86" s="7"/>
      <c r="AQ86" s="7"/>
      <c r="AR86" s="7"/>
      <c r="AS86" s="7"/>
      <c r="AT86" s="7"/>
      <c r="AU86" s="7"/>
      <c r="AV86" s="7"/>
      <c r="AW86" s="7"/>
    </row>
    <row r="87" spans="18:49" ht="14.25" customHeight="1">
      <c r="R87" s="302"/>
      <c r="U87" s="301"/>
      <c r="V87" s="304"/>
      <c r="X87" s="305"/>
      <c r="AB87" s="7"/>
      <c r="AC87" s="7"/>
      <c r="AD87" s="7"/>
      <c r="AE87" s="7"/>
      <c r="AF87" s="7"/>
      <c r="AG87" s="7"/>
      <c r="AH87" s="7"/>
      <c r="AI87" s="7"/>
      <c r="AJ87" s="7"/>
      <c r="AK87" s="7"/>
      <c r="AL87" s="7"/>
      <c r="AM87" s="7"/>
      <c r="AN87" s="7"/>
      <c r="AO87" s="7"/>
      <c r="AP87" s="7"/>
      <c r="AQ87" s="7"/>
      <c r="AR87" s="7"/>
      <c r="AS87" s="7"/>
      <c r="AT87" s="7"/>
      <c r="AU87" s="7"/>
      <c r="AV87" s="7"/>
      <c r="AW87" s="7"/>
    </row>
    <row r="88" spans="18:49" ht="14.25" customHeight="1">
      <c r="R88" s="302"/>
      <c r="U88" s="301"/>
      <c r="V88" s="304"/>
      <c r="X88" s="305"/>
      <c r="AB88" s="7"/>
      <c r="AC88" s="7"/>
      <c r="AD88" s="7"/>
      <c r="AE88" s="7"/>
      <c r="AF88" s="7"/>
      <c r="AG88" s="7"/>
      <c r="AH88" s="7"/>
      <c r="AI88" s="7"/>
      <c r="AJ88" s="7"/>
      <c r="AK88" s="7"/>
      <c r="AL88" s="7"/>
      <c r="AM88" s="7"/>
      <c r="AN88" s="7"/>
      <c r="AO88" s="7"/>
      <c r="AP88" s="7"/>
      <c r="AQ88" s="7"/>
      <c r="AR88" s="7"/>
      <c r="AS88" s="7"/>
      <c r="AT88" s="7"/>
      <c r="AU88" s="7"/>
      <c r="AV88" s="7"/>
      <c r="AW88" s="7"/>
    </row>
    <row r="89" spans="18:49" ht="14.25" customHeight="1">
      <c r="R89" s="302"/>
      <c r="U89" s="301"/>
      <c r="V89" s="304"/>
      <c r="X89" s="305"/>
      <c r="AB89" s="7"/>
      <c r="AC89" s="7"/>
      <c r="AD89" s="7"/>
      <c r="AE89" s="7"/>
      <c r="AF89" s="7"/>
      <c r="AG89" s="7"/>
      <c r="AH89" s="7"/>
      <c r="AI89" s="7"/>
      <c r="AJ89" s="7"/>
      <c r="AK89" s="7"/>
      <c r="AL89" s="7"/>
      <c r="AM89" s="7"/>
      <c r="AN89" s="7"/>
      <c r="AO89" s="7"/>
      <c r="AP89" s="7"/>
      <c r="AQ89" s="7"/>
      <c r="AR89" s="7"/>
      <c r="AS89" s="7"/>
      <c r="AT89" s="7"/>
      <c r="AU89" s="7"/>
      <c r="AV89" s="7"/>
      <c r="AW89" s="7"/>
    </row>
    <row r="90" spans="21:49" ht="14.25" customHeight="1">
      <c r="U90" s="301"/>
      <c r="V90" s="304"/>
      <c r="X90" s="305"/>
      <c r="AB90" s="7"/>
      <c r="AC90" s="7"/>
      <c r="AD90" s="7"/>
      <c r="AE90" s="7"/>
      <c r="AF90" s="7"/>
      <c r="AG90" s="7"/>
      <c r="AH90" s="7"/>
      <c r="AI90" s="7"/>
      <c r="AJ90" s="7"/>
      <c r="AK90" s="7"/>
      <c r="AL90" s="7"/>
      <c r="AM90" s="7"/>
      <c r="AN90" s="7"/>
      <c r="AO90" s="7"/>
      <c r="AP90" s="7"/>
      <c r="AQ90" s="7"/>
      <c r="AR90" s="7"/>
      <c r="AS90" s="7"/>
      <c r="AT90" s="7"/>
      <c r="AU90" s="7"/>
      <c r="AV90" s="7"/>
      <c r="AW90" s="7"/>
    </row>
    <row r="91" spans="21:49" ht="14.25" customHeight="1">
      <c r="U91" s="301"/>
      <c r="V91" s="304"/>
      <c r="X91" s="305"/>
      <c r="AB91" s="7"/>
      <c r="AC91" s="7"/>
      <c r="AD91" s="7"/>
      <c r="AE91" s="7"/>
      <c r="AF91" s="7"/>
      <c r="AG91" s="7"/>
      <c r="AH91" s="7"/>
      <c r="AI91" s="7"/>
      <c r="AJ91" s="7"/>
      <c r="AK91" s="7"/>
      <c r="AL91" s="7"/>
      <c r="AM91" s="7"/>
      <c r="AN91" s="7"/>
      <c r="AO91" s="7"/>
      <c r="AP91" s="7"/>
      <c r="AQ91" s="7"/>
      <c r="AR91" s="7"/>
      <c r="AS91" s="7"/>
      <c r="AT91" s="7"/>
      <c r="AU91" s="7"/>
      <c r="AV91" s="7"/>
      <c r="AW91" s="7"/>
    </row>
    <row r="92" spans="21:49" ht="14.25" customHeight="1">
      <c r="U92" s="301"/>
      <c r="V92" s="304"/>
      <c r="W92" s="306"/>
      <c r="X92" s="305"/>
      <c r="AB92" s="7"/>
      <c r="AC92" s="7"/>
      <c r="AD92" s="7"/>
      <c r="AE92" s="7"/>
      <c r="AF92" s="7"/>
      <c r="AG92" s="7"/>
      <c r="AH92" s="7"/>
      <c r="AI92" s="7"/>
      <c r="AJ92" s="7"/>
      <c r="AK92" s="7"/>
      <c r="AL92" s="7"/>
      <c r="AM92" s="7"/>
      <c r="AN92" s="7"/>
      <c r="AO92" s="7"/>
      <c r="AP92" s="7"/>
      <c r="AQ92" s="7"/>
      <c r="AR92" s="7"/>
      <c r="AS92" s="7"/>
      <c r="AT92" s="7"/>
      <c r="AU92" s="7"/>
      <c r="AV92" s="7"/>
      <c r="AW92" s="7"/>
    </row>
    <row r="93" spans="21:49" ht="14.25" customHeight="1">
      <c r="U93" s="301"/>
      <c r="V93" s="304"/>
      <c r="W93" s="306"/>
      <c r="X93" s="305"/>
      <c r="AB93" s="7"/>
      <c r="AC93" s="7"/>
      <c r="AD93" s="7"/>
      <c r="AE93" s="7"/>
      <c r="AF93" s="7"/>
      <c r="AG93" s="7"/>
      <c r="AH93" s="7"/>
      <c r="AI93" s="7"/>
      <c r="AJ93" s="7"/>
      <c r="AK93" s="7"/>
      <c r="AL93" s="7"/>
      <c r="AM93" s="7"/>
      <c r="AN93" s="7"/>
      <c r="AO93" s="7"/>
      <c r="AP93" s="7"/>
      <c r="AQ93" s="7"/>
      <c r="AR93" s="7"/>
      <c r="AS93" s="7"/>
      <c r="AT93" s="7"/>
      <c r="AU93" s="7"/>
      <c r="AV93" s="7"/>
      <c r="AW93" s="7"/>
    </row>
    <row r="94" spans="18:49" ht="14.25" customHeight="1">
      <c r="R94" s="301"/>
      <c r="U94" s="301"/>
      <c r="V94" s="304"/>
      <c r="W94" s="306"/>
      <c r="X94" s="305"/>
      <c r="AB94" s="7"/>
      <c r="AC94" s="7"/>
      <c r="AD94" s="7"/>
      <c r="AE94" s="7"/>
      <c r="AF94" s="7"/>
      <c r="AG94" s="7"/>
      <c r="AH94" s="7"/>
      <c r="AI94" s="7"/>
      <c r="AJ94" s="7"/>
      <c r="AK94" s="7"/>
      <c r="AL94" s="7"/>
      <c r="AM94" s="7"/>
      <c r="AN94" s="7"/>
      <c r="AO94" s="7"/>
      <c r="AP94" s="7"/>
      <c r="AQ94" s="7"/>
      <c r="AR94" s="7"/>
      <c r="AS94" s="7"/>
      <c r="AT94" s="7"/>
      <c r="AU94" s="7"/>
      <c r="AV94" s="7"/>
      <c r="AW94" s="7"/>
    </row>
    <row r="95" spans="21:49" ht="14.25" customHeight="1">
      <c r="U95" s="301"/>
      <c r="V95" s="304"/>
      <c r="W95" s="306"/>
      <c r="X95" s="305"/>
      <c r="AB95" s="7"/>
      <c r="AC95" s="7"/>
      <c r="AD95" s="7"/>
      <c r="AE95" s="7"/>
      <c r="AF95" s="7"/>
      <c r="AG95" s="7"/>
      <c r="AH95" s="7"/>
      <c r="AI95" s="7"/>
      <c r="AJ95" s="7"/>
      <c r="AK95" s="7"/>
      <c r="AL95" s="7"/>
      <c r="AM95" s="7"/>
      <c r="AN95" s="7"/>
      <c r="AO95" s="7"/>
      <c r="AP95" s="7"/>
      <c r="AQ95" s="7"/>
      <c r="AR95" s="7"/>
      <c r="AS95" s="7"/>
      <c r="AT95" s="7"/>
      <c r="AU95" s="7"/>
      <c r="AV95" s="7"/>
      <c r="AW95" s="7"/>
    </row>
    <row r="96" spans="21:49" ht="14.25" customHeight="1">
      <c r="U96" s="301"/>
      <c r="V96" s="304"/>
      <c r="W96" s="306"/>
      <c r="X96" s="305"/>
      <c r="AB96" s="7"/>
      <c r="AC96" s="7"/>
      <c r="AD96" s="7"/>
      <c r="AE96" s="7"/>
      <c r="AF96" s="7"/>
      <c r="AG96" s="7"/>
      <c r="AH96" s="7"/>
      <c r="AI96" s="7"/>
      <c r="AJ96" s="7"/>
      <c r="AK96" s="7"/>
      <c r="AL96" s="7"/>
      <c r="AM96" s="7"/>
      <c r="AN96" s="7"/>
      <c r="AO96" s="7"/>
      <c r="AP96" s="7"/>
      <c r="AQ96" s="7"/>
      <c r="AR96" s="7"/>
      <c r="AS96" s="7"/>
      <c r="AT96" s="7"/>
      <c r="AU96" s="7"/>
      <c r="AV96" s="7"/>
      <c r="AW96" s="7"/>
    </row>
    <row r="97" spans="18:49" ht="14.25" customHeight="1">
      <c r="R97" s="307"/>
      <c r="U97" s="301"/>
      <c r="V97" s="304"/>
      <c r="W97" s="306"/>
      <c r="X97" s="305"/>
      <c r="AB97" s="7"/>
      <c r="AC97" s="7"/>
      <c r="AD97" s="7"/>
      <c r="AE97" s="7"/>
      <c r="AF97" s="7"/>
      <c r="AG97" s="7"/>
      <c r="AH97" s="7"/>
      <c r="AI97" s="7"/>
      <c r="AJ97" s="7"/>
      <c r="AK97" s="7"/>
      <c r="AL97" s="7"/>
      <c r="AM97" s="7"/>
      <c r="AN97" s="7"/>
      <c r="AO97" s="7"/>
      <c r="AP97" s="7"/>
      <c r="AQ97" s="7"/>
      <c r="AR97" s="7"/>
      <c r="AS97" s="7"/>
      <c r="AT97" s="7"/>
      <c r="AU97" s="7"/>
      <c r="AV97" s="7"/>
      <c r="AW97" s="7"/>
    </row>
    <row r="98" spans="21:49" ht="14.25" customHeight="1">
      <c r="U98" s="301"/>
      <c r="V98" s="304"/>
      <c r="W98" s="306"/>
      <c r="X98" s="305"/>
      <c r="AB98" s="7"/>
      <c r="AC98" s="7"/>
      <c r="AD98" s="7"/>
      <c r="AE98" s="7"/>
      <c r="AF98" s="7"/>
      <c r="AG98" s="7"/>
      <c r="AH98" s="7"/>
      <c r="AI98" s="7"/>
      <c r="AJ98" s="7"/>
      <c r="AK98" s="7"/>
      <c r="AL98" s="7"/>
      <c r="AM98" s="7"/>
      <c r="AN98" s="7"/>
      <c r="AO98" s="7"/>
      <c r="AP98" s="7"/>
      <c r="AQ98" s="7"/>
      <c r="AR98" s="7"/>
      <c r="AS98" s="7"/>
      <c r="AT98" s="7"/>
      <c r="AU98" s="7"/>
      <c r="AV98" s="7"/>
      <c r="AW98" s="7"/>
    </row>
    <row r="99" spans="21:49" ht="14.25" customHeight="1">
      <c r="U99" s="301"/>
      <c r="V99" s="304"/>
      <c r="W99" s="306"/>
      <c r="X99" s="305"/>
      <c r="AB99" s="7"/>
      <c r="AC99" s="7"/>
      <c r="AD99" s="7"/>
      <c r="AE99" s="7"/>
      <c r="AF99" s="7"/>
      <c r="AG99" s="7"/>
      <c r="AH99" s="7"/>
      <c r="AI99" s="7"/>
      <c r="AJ99" s="7"/>
      <c r="AK99" s="7"/>
      <c r="AL99" s="7"/>
      <c r="AM99" s="7"/>
      <c r="AN99" s="7"/>
      <c r="AO99" s="7"/>
      <c r="AP99" s="7"/>
      <c r="AQ99" s="7"/>
      <c r="AR99" s="7"/>
      <c r="AS99" s="7"/>
      <c r="AT99" s="7"/>
      <c r="AU99" s="7"/>
      <c r="AV99" s="7"/>
      <c r="AW99" s="7"/>
    </row>
    <row r="100" spans="21:49" ht="14.25" customHeight="1">
      <c r="U100" s="301"/>
      <c r="V100" s="304"/>
      <c r="W100" s="306"/>
      <c r="X100" s="305"/>
      <c r="AB100" s="7"/>
      <c r="AC100" s="7"/>
      <c r="AD100" s="7"/>
      <c r="AE100" s="7"/>
      <c r="AF100" s="7"/>
      <c r="AG100" s="7"/>
      <c r="AH100" s="7"/>
      <c r="AI100" s="7"/>
      <c r="AJ100" s="7"/>
      <c r="AK100" s="7"/>
      <c r="AL100" s="7"/>
      <c r="AM100" s="7"/>
      <c r="AN100" s="7"/>
      <c r="AO100" s="7"/>
      <c r="AP100" s="7"/>
      <c r="AQ100" s="7"/>
      <c r="AR100" s="7"/>
      <c r="AS100" s="7"/>
      <c r="AT100" s="7"/>
      <c r="AU100" s="7"/>
      <c r="AV100" s="7"/>
      <c r="AW100" s="7"/>
    </row>
    <row r="101" spans="21:49" ht="14.25" customHeight="1">
      <c r="U101" s="301"/>
      <c r="V101" s="304"/>
      <c r="W101" s="306"/>
      <c r="X101" s="305"/>
      <c r="AB101" s="7"/>
      <c r="AC101" s="7"/>
      <c r="AD101" s="7"/>
      <c r="AE101" s="7"/>
      <c r="AF101" s="7"/>
      <c r="AG101" s="7"/>
      <c r="AH101" s="7"/>
      <c r="AI101" s="7"/>
      <c r="AJ101" s="7"/>
      <c r="AK101" s="7"/>
      <c r="AL101" s="7"/>
      <c r="AM101" s="7"/>
      <c r="AN101" s="7"/>
      <c r="AO101" s="7"/>
      <c r="AP101" s="7"/>
      <c r="AQ101" s="7"/>
      <c r="AR101" s="7"/>
      <c r="AS101" s="7"/>
      <c r="AT101" s="7"/>
      <c r="AU101" s="7"/>
      <c r="AV101" s="7"/>
      <c r="AW101" s="7"/>
    </row>
    <row r="102" spans="21:49" ht="14.25" customHeight="1">
      <c r="U102" s="301"/>
      <c r="V102" s="304"/>
      <c r="W102" s="306"/>
      <c r="X102" s="305"/>
      <c r="AB102" s="7"/>
      <c r="AC102" s="7"/>
      <c r="AD102" s="7"/>
      <c r="AE102" s="7"/>
      <c r="AF102" s="7"/>
      <c r="AG102" s="7"/>
      <c r="AH102" s="7"/>
      <c r="AI102" s="7"/>
      <c r="AJ102" s="7"/>
      <c r="AK102" s="7"/>
      <c r="AL102" s="7"/>
      <c r="AM102" s="7"/>
      <c r="AN102" s="7"/>
      <c r="AO102" s="7"/>
      <c r="AP102" s="7"/>
      <c r="AQ102" s="7"/>
      <c r="AR102" s="7"/>
      <c r="AS102" s="7"/>
      <c r="AT102" s="7"/>
      <c r="AU102" s="7"/>
      <c r="AV102" s="7"/>
      <c r="AW102" s="7"/>
    </row>
    <row r="103" spans="21:49" ht="14.25" customHeight="1">
      <c r="U103" s="301"/>
      <c r="V103" s="304"/>
      <c r="W103" s="306"/>
      <c r="X103" s="305"/>
      <c r="AB103" s="7"/>
      <c r="AC103" s="7"/>
      <c r="AD103" s="7"/>
      <c r="AE103" s="7"/>
      <c r="AF103" s="7"/>
      <c r="AG103" s="7"/>
      <c r="AH103" s="7"/>
      <c r="AI103" s="7"/>
      <c r="AJ103" s="7"/>
      <c r="AK103" s="7"/>
      <c r="AL103" s="7"/>
      <c r="AM103" s="7"/>
      <c r="AN103" s="7"/>
      <c r="AO103" s="7"/>
      <c r="AP103" s="7"/>
      <c r="AQ103" s="7"/>
      <c r="AR103" s="7"/>
      <c r="AS103" s="7"/>
      <c r="AT103" s="7"/>
      <c r="AU103" s="7"/>
      <c r="AV103" s="7"/>
      <c r="AW103" s="7"/>
    </row>
    <row r="104" spans="28:49" ht="14.25" customHeight="1">
      <c r="AB104" s="7"/>
      <c r="AC104" s="7"/>
      <c r="AD104" s="7"/>
      <c r="AE104" s="7"/>
      <c r="AF104" s="7"/>
      <c r="AG104" s="7"/>
      <c r="AH104" s="7"/>
      <c r="AI104" s="7"/>
      <c r="AJ104" s="7"/>
      <c r="AK104" s="7"/>
      <c r="AL104" s="7"/>
      <c r="AM104" s="7"/>
      <c r="AN104" s="7"/>
      <c r="AO104" s="7"/>
      <c r="AP104" s="7"/>
      <c r="AQ104" s="7"/>
      <c r="AR104" s="7"/>
      <c r="AS104" s="7"/>
      <c r="AT104" s="7"/>
      <c r="AU104" s="7"/>
      <c r="AV104" s="7"/>
      <c r="AW104" s="7"/>
    </row>
    <row r="105" spans="18:49" ht="14.25" customHeight="1">
      <c r="R105" s="307"/>
      <c r="U105" s="306"/>
      <c r="AB105" s="7"/>
      <c r="AC105" s="7"/>
      <c r="AD105" s="7"/>
      <c r="AE105" s="7"/>
      <c r="AF105" s="7"/>
      <c r="AG105" s="7"/>
      <c r="AH105" s="7"/>
      <c r="AI105" s="7"/>
      <c r="AJ105" s="7"/>
      <c r="AK105" s="7"/>
      <c r="AL105" s="7"/>
      <c r="AM105" s="7"/>
      <c r="AN105" s="7"/>
      <c r="AO105" s="7"/>
      <c r="AP105" s="7"/>
      <c r="AQ105" s="7"/>
      <c r="AR105" s="7"/>
      <c r="AS105" s="7"/>
      <c r="AT105" s="7"/>
      <c r="AU105" s="7"/>
      <c r="AV105" s="7"/>
      <c r="AW105" s="7"/>
    </row>
    <row r="106" spans="21:49" ht="14.25" customHeight="1">
      <c r="U106" s="306"/>
      <c r="V106" s="304"/>
      <c r="W106" s="301"/>
      <c r="AB106" s="7"/>
      <c r="AC106" s="7"/>
      <c r="AD106" s="7"/>
      <c r="AE106" s="7"/>
      <c r="AF106" s="7"/>
      <c r="AG106" s="7"/>
      <c r="AH106" s="7"/>
      <c r="AI106" s="7"/>
      <c r="AJ106" s="7"/>
      <c r="AK106" s="7"/>
      <c r="AL106" s="7"/>
      <c r="AM106" s="7"/>
      <c r="AN106" s="7"/>
      <c r="AO106" s="7"/>
      <c r="AP106" s="7"/>
      <c r="AQ106" s="7"/>
      <c r="AR106" s="7"/>
      <c r="AS106" s="7"/>
      <c r="AT106" s="7"/>
      <c r="AU106" s="7"/>
      <c r="AV106" s="7"/>
      <c r="AW106" s="7"/>
    </row>
    <row r="107" spans="21:49" ht="14.25" customHeight="1">
      <c r="U107" s="306"/>
      <c r="V107" s="304"/>
      <c r="AB107" s="7"/>
      <c r="AC107" s="7"/>
      <c r="AD107" s="7"/>
      <c r="AE107" s="7"/>
      <c r="AF107" s="7"/>
      <c r="AG107" s="7"/>
      <c r="AH107" s="7"/>
      <c r="AI107" s="7"/>
      <c r="AJ107" s="7"/>
      <c r="AK107" s="7"/>
      <c r="AL107" s="7"/>
      <c r="AM107" s="7"/>
      <c r="AN107" s="7"/>
      <c r="AO107" s="7"/>
      <c r="AP107" s="7"/>
      <c r="AQ107" s="7"/>
      <c r="AR107" s="7"/>
      <c r="AS107" s="7"/>
      <c r="AT107" s="7"/>
      <c r="AU107" s="7"/>
      <c r="AV107" s="7"/>
      <c r="AW107" s="7"/>
    </row>
    <row r="108" spans="21:49" ht="14.25" customHeight="1">
      <c r="U108" s="306"/>
      <c r="V108" s="304"/>
      <c r="AB108" s="7"/>
      <c r="AC108" s="7"/>
      <c r="AD108" s="7"/>
      <c r="AE108" s="7"/>
      <c r="AF108" s="7"/>
      <c r="AG108" s="7"/>
      <c r="AH108" s="7"/>
      <c r="AI108" s="7"/>
      <c r="AJ108" s="7"/>
      <c r="AK108" s="7"/>
      <c r="AL108" s="7"/>
      <c r="AM108" s="7"/>
      <c r="AN108" s="7"/>
      <c r="AO108" s="7"/>
      <c r="AP108" s="7"/>
      <c r="AQ108" s="7"/>
      <c r="AR108" s="7"/>
      <c r="AS108" s="7"/>
      <c r="AT108" s="7"/>
      <c r="AU108" s="7"/>
      <c r="AV108" s="7"/>
      <c r="AW108" s="7"/>
    </row>
    <row r="109" spans="21:49" ht="14.25" customHeight="1">
      <c r="U109" s="306"/>
      <c r="V109" s="304"/>
      <c r="AB109" s="7"/>
      <c r="AC109" s="7"/>
      <c r="AD109" s="7"/>
      <c r="AE109" s="7"/>
      <c r="AF109" s="7"/>
      <c r="AG109" s="7"/>
      <c r="AH109" s="7"/>
      <c r="AI109" s="7"/>
      <c r="AJ109" s="7"/>
      <c r="AK109" s="7"/>
      <c r="AL109" s="7"/>
      <c r="AM109" s="7"/>
      <c r="AN109" s="7"/>
      <c r="AO109" s="7"/>
      <c r="AP109" s="7"/>
      <c r="AQ109" s="7"/>
      <c r="AR109" s="7"/>
      <c r="AS109" s="7"/>
      <c r="AT109" s="7"/>
      <c r="AU109" s="7"/>
      <c r="AV109" s="7"/>
      <c r="AW109" s="7"/>
    </row>
    <row r="110" spans="18:49" ht="14.25" customHeight="1">
      <c r="R110" s="301"/>
      <c r="U110" s="306"/>
      <c r="V110" s="304"/>
      <c r="AB110" s="7"/>
      <c r="AC110" s="7"/>
      <c r="AD110" s="7"/>
      <c r="AE110" s="7"/>
      <c r="AF110" s="7"/>
      <c r="AG110" s="7"/>
      <c r="AH110" s="7"/>
      <c r="AI110" s="7"/>
      <c r="AJ110" s="7"/>
      <c r="AK110" s="7"/>
      <c r="AL110" s="7"/>
      <c r="AM110" s="7"/>
      <c r="AN110" s="7"/>
      <c r="AO110" s="7"/>
      <c r="AP110" s="7"/>
      <c r="AQ110" s="7"/>
      <c r="AR110" s="7"/>
      <c r="AS110" s="7"/>
      <c r="AT110" s="7"/>
      <c r="AU110" s="7"/>
      <c r="AV110" s="7"/>
      <c r="AW110" s="7"/>
    </row>
    <row r="111" spans="21:49" ht="14.25" customHeight="1">
      <c r="U111" s="306"/>
      <c r="V111" s="304"/>
      <c r="AB111" s="7"/>
      <c r="AC111" s="7"/>
      <c r="AD111" s="7"/>
      <c r="AE111" s="7"/>
      <c r="AF111" s="7"/>
      <c r="AG111" s="7"/>
      <c r="AH111" s="7"/>
      <c r="AI111" s="7"/>
      <c r="AJ111" s="7"/>
      <c r="AK111" s="7"/>
      <c r="AL111" s="7"/>
      <c r="AM111" s="7"/>
      <c r="AN111" s="7"/>
      <c r="AO111" s="7"/>
      <c r="AP111" s="7"/>
      <c r="AQ111" s="7"/>
      <c r="AR111" s="7"/>
      <c r="AS111" s="7"/>
      <c r="AT111" s="7"/>
      <c r="AU111" s="7"/>
      <c r="AV111" s="7"/>
      <c r="AW111" s="7"/>
    </row>
    <row r="112" spans="21:49" ht="14.25" customHeight="1">
      <c r="U112" s="301"/>
      <c r="V112" s="304"/>
      <c r="AB112" s="7"/>
      <c r="AC112" s="7"/>
      <c r="AD112" s="7"/>
      <c r="AE112" s="7"/>
      <c r="AF112" s="7"/>
      <c r="AG112" s="7"/>
      <c r="AH112" s="7"/>
      <c r="AI112" s="7"/>
      <c r="AJ112" s="7"/>
      <c r="AK112" s="7"/>
      <c r="AL112" s="7"/>
      <c r="AM112" s="7"/>
      <c r="AN112" s="7"/>
      <c r="AO112" s="7"/>
      <c r="AP112" s="7"/>
      <c r="AQ112" s="7"/>
      <c r="AR112" s="7"/>
      <c r="AS112" s="7"/>
      <c r="AT112" s="7"/>
      <c r="AU112" s="7"/>
      <c r="AV112" s="7"/>
      <c r="AW112" s="7"/>
    </row>
    <row r="113" spans="28:49" ht="14.25" customHeight="1">
      <c r="AB113" s="7"/>
      <c r="AC113" s="7"/>
      <c r="AD113" s="7"/>
      <c r="AE113" s="7"/>
      <c r="AF113" s="7"/>
      <c r="AG113" s="7"/>
      <c r="AH113" s="7"/>
      <c r="AI113" s="7"/>
      <c r="AJ113" s="7"/>
      <c r="AK113" s="7"/>
      <c r="AL113" s="7"/>
      <c r="AM113" s="7"/>
      <c r="AN113" s="7"/>
      <c r="AO113" s="7"/>
      <c r="AP113" s="7"/>
      <c r="AQ113" s="7"/>
      <c r="AR113" s="7"/>
      <c r="AS113" s="7"/>
      <c r="AT113" s="7"/>
      <c r="AU113" s="7"/>
      <c r="AV113" s="7"/>
      <c r="AW113" s="7"/>
    </row>
    <row r="114" spans="18:49" ht="14.25" customHeight="1">
      <c r="R114" s="307"/>
      <c r="AB114" s="7"/>
      <c r="AC114" s="7"/>
      <c r="AD114" s="7"/>
      <c r="AE114" s="7"/>
      <c r="AF114" s="7"/>
      <c r="AG114" s="7"/>
      <c r="AH114" s="7"/>
      <c r="AI114" s="7"/>
      <c r="AJ114" s="7"/>
      <c r="AK114" s="7"/>
      <c r="AL114" s="7"/>
      <c r="AM114" s="7"/>
      <c r="AN114" s="7"/>
      <c r="AO114" s="7"/>
      <c r="AP114" s="7"/>
      <c r="AQ114" s="7"/>
      <c r="AR114" s="7"/>
      <c r="AS114" s="7"/>
      <c r="AT114" s="7"/>
      <c r="AU114" s="7"/>
      <c r="AV114" s="7"/>
      <c r="AW114" s="7"/>
    </row>
    <row r="115" spans="21:49" ht="14.25" customHeight="1">
      <c r="U115" s="306"/>
      <c r="V115" s="304"/>
      <c r="AB115" s="7"/>
      <c r="AC115" s="7"/>
      <c r="AD115" s="7"/>
      <c r="AE115" s="7"/>
      <c r="AF115" s="7"/>
      <c r="AG115" s="7"/>
      <c r="AH115" s="7"/>
      <c r="AI115" s="7"/>
      <c r="AJ115" s="7"/>
      <c r="AK115" s="7"/>
      <c r="AL115" s="7"/>
      <c r="AM115" s="7"/>
      <c r="AN115" s="7"/>
      <c r="AO115" s="7"/>
      <c r="AP115" s="7"/>
      <c r="AQ115" s="7"/>
      <c r="AR115" s="7"/>
      <c r="AS115" s="7"/>
      <c r="AT115" s="7"/>
      <c r="AU115" s="7"/>
      <c r="AV115" s="7"/>
      <c r="AW115" s="7"/>
    </row>
    <row r="116" spans="21:49" ht="14.25" customHeight="1">
      <c r="U116" s="306"/>
      <c r="V116" s="304"/>
      <c r="AB116" s="7"/>
      <c r="AC116" s="7"/>
      <c r="AD116" s="7"/>
      <c r="AE116" s="7"/>
      <c r="AF116" s="7"/>
      <c r="AG116" s="7"/>
      <c r="AH116" s="7"/>
      <c r="AI116" s="7"/>
      <c r="AJ116" s="7"/>
      <c r="AK116" s="7"/>
      <c r="AL116" s="7"/>
      <c r="AM116" s="7"/>
      <c r="AN116" s="7"/>
      <c r="AO116" s="7"/>
      <c r="AP116" s="7"/>
      <c r="AQ116" s="7"/>
      <c r="AR116" s="7"/>
      <c r="AS116" s="7"/>
      <c r="AT116" s="7"/>
      <c r="AU116" s="7"/>
      <c r="AV116" s="7"/>
      <c r="AW116" s="7"/>
    </row>
    <row r="117" spans="21:49" ht="14.25" customHeight="1">
      <c r="U117" s="306"/>
      <c r="V117" s="304"/>
      <c r="AB117" s="7"/>
      <c r="AC117" s="7"/>
      <c r="AD117" s="7"/>
      <c r="AE117" s="7"/>
      <c r="AF117" s="7"/>
      <c r="AG117" s="7"/>
      <c r="AH117" s="7"/>
      <c r="AI117" s="7"/>
      <c r="AJ117" s="7"/>
      <c r="AK117" s="7"/>
      <c r="AL117" s="7"/>
      <c r="AM117" s="7"/>
      <c r="AN117" s="7"/>
      <c r="AO117" s="7"/>
      <c r="AP117" s="7"/>
      <c r="AQ117" s="7"/>
      <c r="AR117" s="7"/>
      <c r="AS117" s="7"/>
      <c r="AT117" s="7"/>
      <c r="AU117" s="7"/>
      <c r="AV117" s="7"/>
      <c r="AW117" s="7"/>
    </row>
    <row r="118" spans="21:49" ht="14.25" customHeight="1">
      <c r="U118" s="306"/>
      <c r="V118" s="304"/>
      <c r="AB118" s="7"/>
      <c r="AC118" s="7"/>
      <c r="AD118" s="7"/>
      <c r="AE118" s="7"/>
      <c r="AF118" s="7"/>
      <c r="AG118" s="7"/>
      <c r="AH118" s="7"/>
      <c r="AI118" s="7"/>
      <c r="AJ118" s="7"/>
      <c r="AK118" s="7"/>
      <c r="AL118" s="7"/>
      <c r="AM118" s="7"/>
      <c r="AN118" s="7"/>
      <c r="AO118" s="7"/>
      <c r="AP118" s="7"/>
      <c r="AQ118" s="7"/>
      <c r="AR118" s="7"/>
      <c r="AS118" s="7"/>
      <c r="AT118" s="7"/>
      <c r="AU118" s="7"/>
      <c r="AV118" s="7"/>
      <c r="AW118" s="7"/>
    </row>
    <row r="119" spans="21:49" ht="14.25" customHeight="1">
      <c r="U119" s="306"/>
      <c r="V119" s="304"/>
      <c r="AB119" s="7"/>
      <c r="AC119" s="7"/>
      <c r="AD119" s="7"/>
      <c r="AE119" s="7"/>
      <c r="AF119" s="7"/>
      <c r="AG119" s="7"/>
      <c r="AH119" s="7"/>
      <c r="AI119" s="7"/>
      <c r="AJ119" s="7"/>
      <c r="AK119" s="7"/>
      <c r="AL119" s="7"/>
      <c r="AM119" s="7"/>
      <c r="AN119" s="7"/>
      <c r="AO119" s="7"/>
      <c r="AP119" s="7"/>
      <c r="AQ119" s="7"/>
      <c r="AR119" s="7"/>
      <c r="AS119" s="7"/>
      <c r="AT119" s="7"/>
      <c r="AU119" s="7"/>
      <c r="AV119" s="7"/>
      <c r="AW119" s="7"/>
    </row>
    <row r="120" spans="21:49" ht="14.25" customHeight="1">
      <c r="U120" s="306"/>
      <c r="V120" s="304"/>
      <c r="AB120" s="7"/>
      <c r="AC120" s="7"/>
      <c r="AD120" s="7"/>
      <c r="AE120" s="7"/>
      <c r="AF120" s="7"/>
      <c r="AG120" s="7"/>
      <c r="AH120" s="7"/>
      <c r="AI120" s="7"/>
      <c r="AJ120" s="7"/>
      <c r="AK120" s="7"/>
      <c r="AL120" s="7"/>
      <c r="AM120" s="7"/>
      <c r="AN120" s="7"/>
      <c r="AO120" s="7"/>
      <c r="AP120" s="7"/>
      <c r="AQ120" s="7"/>
      <c r="AR120" s="7"/>
      <c r="AS120" s="7"/>
      <c r="AT120" s="7"/>
      <c r="AU120" s="7"/>
      <c r="AV120" s="7"/>
      <c r="AW120" s="7"/>
    </row>
    <row r="121" spans="22:49" ht="14.25" customHeight="1">
      <c r="V121" s="304"/>
      <c r="AB121" s="7"/>
      <c r="AC121" s="7"/>
      <c r="AD121" s="7"/>
      <c r="AE121" s="7"/>
      <c r="AF121" s="7"/>
      <c r="AG121" s="7"/>
      <c r="AH121" s="7"/>
      <c r="AI121" s="7"/>
      <c r="AJ121" s="7"/>
      <c r="AK121" s="7"/>
      <c r="AL121" s="7"/>
      <c r="AM121" s="7"/>
      <c r="AN121" s="7"/>
      <c r="AO121" s="7"/>
      <c r="AP121" s="7"/>
      <c r="AQ121" s="7"/>
      <c r="AR121" s="7"/>
      <c r="AS121" s="7"/>
      <c r="AT121" s="7"/>
      <c r="AU121" s="7"/>
      <c r="AV121" s="7"/>
      <c r="AW121" s="7"/>
    </row>
    <row r="122" spans="28:49" ht="14.25" customHeight="1">
      <c r="AB122" s="7"/>
      <c r="AC122" s="7"/>
      <c r="AD122" s="7"/>
      <c r="AE122" s="7"/>
      <c r="AF122" s="7"/>
      <c r="AG122" s="7"/>
      <c r="AH122" s="7"/>
      <c r="AI122" s="7"/>
      <c r="AJ122" s="7"/>
      <c r="AK122" s="7"/>
      <c r="AL122" s="7"/>
      <c r="AM122" s="7"/>
      <c r="AN122" s="7"/>
      <c r="AO122" s="7"/>
      <c r="AP122" s="7"/>
      <c r="AQ122" s="7"/>
      <c r="AR122" s="7"/>
      <c r="AS122" s="7"/>
      <c r="AT122" s="7"/>
      <c r="AU122" s="7"/>
      <c r="AV122" s="7"/>
      <c r="AW122" s="7"/>
    </row>
    <row r="123" spans="18:49" ht="14.25" customHeight="1">
      <c r="R123" s="307"/>
      <c r="AB123" s="7"/>
      <c r="AC123" s="7"/>
      <c r="AD123" s="7"/>
      <c r="AE123" s="7"/>
      <c r="AF123" s="7"/>
      <c r="AG123" s="7"/>
      <c r="AH123" s="7"/>
      <c r="AI123" s="7"/>
      <c r="AJ123" s="7"/>
      <c r="AK123" s="7"/>
      <c r="AL123" s="7"/>
      <c r="AM123" s="7"/>
      <c r="AN123" s="7"/>
      <c r="AO123" s="7"/>
      <c r="AP123" s="7"/>
      <c r="AQ123" s="7"/>
      <c r="AR123" s="7"/>
      <c r="AS123" s="7"/>
      <c r="AT123" s="7"/>
      <c r="AU123" s="7"/>
      <c r="AV123" s="7"/>
      <c r="AW123" s="7"/>
    </row>
    <row r="124" spans="21:49" ht="14.25" customHeight="1">
      <c r="U124" s="306"/>
      <c r="V124" s="304"/>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21:49" ht="14.25" customHeight="1">
      <c r="U125" s="306"/>
      <c r="V125" s="304"/>
      <c r="AB125" s="7"/>
      <c r="AC125" s="7"/>
      <c r="AD125" s="7"/>
      <c r="AE125" s="7"/>
      <c r="AF125" s="7"/>
      <c r="AG125" s="7"/>
      <c r="AH125" s="7"/>
      <c r="AI125" s="7"/>
      <c r="AJ125" s="7"/>
      <c r="AK125" s="7"/>
      <c r="AL125" s="7"/>
      <c r="AM125" s="7"/>
      <c r="AN125" s="7"/>
      <c r="AO125" s="7"/>
      <c r="AP125" s="7"/>
      <c r="AQ125" s="7"/>
      <c r="AR125" s="7"/>
      <c r="AS125" s="7"/>
      <c r="AT125" s="7"/>
      <c r="AU125" s="7"/>
      <c r="AV125" s="7"/>
      <c r="AW125" s="7"/>
    </row>
    <row r="126" spans="21:49" ht="14.25" customHeight="1">
      <c r="U126" s="306"/>
      <c r="V126" s="304"/>
      <c r="AB126" s="7"/>
      <c r="AC126" s="7"/>
      <c r="AD126" s="7"/>
      <c r="AE126" s="7"/>
      <c r="AF126" s="7"/>
      <c r="AG126" s="7"/>
      <c r="AH126" s="7"/>
      <c r="AI126" s="7"/>
      <c r="AJ126" s="7"/>
      <c r="AK126" s="7"/>
      <c r="AL126" s="7"/>
      <c r="AM126" s="7"/>
      <c r="AN126" s="7"/>
      <c r="AO126" s="7"/>
      <c r="AP126" s="7"/>
      <c r="AQ126" s="7"/>
      <c r="AR126" s="7"/>
      <c r="AS126" s="7"/>
      <c r="AT126" s="7"/>
      <c r="AU126" s="7"/>
      <c r="AV126" s="7"/>
      <c r="AW126" s="7"/>
    </row>
    <row r="127" spans="21:49" ht="14.25" customHeight="1">
      <c r="U127" s="306"/>
      <c r="V127" s="304"/>
      <c r="AB127" s="7"/>
      <c r="AC127" s="7"/>
      <c r="AD127" s="7"/>
      <c r="AE127" s="7"/>
      <c r="AF127" s="7"/>
      <c r="AG127" s="7"/>
      <c r="AH127" s="7"/>
      <c r="AI127" s="7"/>
      <c r="AJ127" s="7"/>
      <c r="AK127" s="7"/>
      <c r="AL127" s="7"/>
      <c r="AM127" s="7"/>
      <c r="AN127" s="7"/>
      <c r="AO127" s="7"/>
      <c r="AP127" s="7"/>
      <c r="AQ127" s="7"/>
      <c r="AR127" s="7"/>
      <c r="AS127" s="7"/>
      <c r="AT127" s="7"/>
      <c r="AU127" s="7"/>
      <c r="AV127" s="7"/>
      <c r="AW127" s="7"/>
    </row>
    <row r="128" spans="21:49" ht="14.25" customHeight="1">
      <c r="U128" s="306"/>
      <c r="V128" s="304"/>
      <c r="AB128" s="7"/>
      <c r="AC128" s="7"/>
      <c r="AD128" s="7"/>
      <c r="AE128" s="7"/>
      <c r="AF128" s="7"/>
      <c r="AG128" s="7"/>
      <c r="AH128" s="7"/>
      <c r="AI128" s="7"/>
      <c r="AJ128" s="7"/>
      <c r="AK128" s="7"/>
      <c r="AL128" s="7"/>
      <c r="AM128" s="7"/>
      <c r="AN128" s="7"/>
      <c r="AO128" s="7"/>
      <c r="AP128" s="7"/>
      <c r="AQ128" s="7"/>
      <c r="AR128" s="7"/>
      <c r="AS128" s="7"/>
      <c r="AT128" s="7"/>
      <c r="AU128" s="7"/>
      <c r="AV128" s="7"/>
      <c r="AW128" s="7"/>
    </row>
    <row r="129" spans="21:49" ht="14.25" customHeight="1">
      <c r="U129" s="306"/>
      <c r="V129" s="304"/>
      <c r="AB129" s="7"/>
      <c r="AC129" s="7"/>
      <c r="AD129" s="7"/>
      <c r="AE129" s="7"/>
      <c r="AF129" s="7"/>
      <c r="AG129" s="7"/>
      <c r="AH129" s="7"/>
      <c r="AI129" s="7"/>
      <c r="AJ129" s="7"/>
      <c r="AK129" s="7"/>
      <c r="AL129" s="7"/>
      <c r="AM129" s="7"/>
      <c r="AN129" s="7"/>
      <c r="AO129" s="7"/>
      <c r="AP129" s="7"/>
      <c r="AQ129" s="7"/>
      <c r="AR129" s="7"/>
      <c r="AS129" s="7"/>
      <c r="AT129" s="7"/>
      <c r="AU129" s="7"/>
      <c r="AV129" s="7"/>
      <c r="AW129" s="7"/>
    </row>
    <row r="130" spans="21:49" ht="14.25" customHeight="1">
      <c r="U130" s="301"/>
      <c r="V130" s="304"/>
      <c r="AB130" s="7"/>
      <c r="AC130" s="7"/>
      <c r="AD130" s="7"/>
      <c r="AE130" s="7"/>
      <c r="AF130" s="7"/>
      <c r="AG130" s="7"/>
      <c r="AH130" s="7"/>
      <c r="AI130" s="7"/>
      <c r="AJ130" s="7"/>
      <c r="AK130" s="7"/>
      <c r="AL130" s="7"/>
      <c r="AM130" s="7"/>
      <c r="AN130" s="7"/>
      <c r="AO130" s="7"/>
      <c r="AP130" s="7"/>
      <c r="AQ130" s="7"/>
      <c r="AR130" s="7"/>
      <c r="AS130" s="7"/>
      <c r="AT130" s="7"/>
      <c r="AU130" s="7"/>
      <c r="AV130" s="7"/>
      <c r="AW130" s="7"/>
    </row>
    <row r="131" spans="28:49" ht="14.25" customHeight="1">
      <c r="AB131" s="7"/>
      <c r="AC131" s="7"/>
      <c r="AD131" s="7"/>
      <c r="AE131" s="7"/>
      <c r="AF131" s="7"/>
      <c r="AG131" s="7"/>
      <c r="AH131" s="7"/>
      <c r="AI131" s="7"/>
      <c r="AJ131" s="7"/>
      <c r="AK131" s="7"/>
      <c r="AL131" s="7"/>
      <c r="AM131" s="7"/>
      <c r="AN131" s="7"/>
      <c r="AO131" s="7"/>
      <c r="AP131" s="7"/>
      <c r="AQ131" s="7"/>
      <c r="AR131" s="7"/>
      <c r="AS131" s="7"/>
      <c r="AT131" s="7"/>
      <c r="AU131" s="7"/>
      <c r="AV131" s="7"/>
      <c r="AW131" s="7"/>
    </row>
    <row r="132" spans="18:49" ht="14.25" customHeight="1">
      <c r="R132" s="307"/>
      <c r="U132" s="306"/>
      <c r="AB132" s="7"/>
      <c r="AC132" s="7"/>
      <c r="AD132" s="7"/>
      <c r="AE132" s="7"/>
      <c r="AF132" s="7"/>
      <c r="AG132" s="7"/>
      <c r="AH132" s="7"/>
      <c r="AI132" s="7"/>
      <c r="AJ132" s="7"/>
      <c r="AK132" s="7"/>
      <c r="AL132" s="7"/>
      <c r="AM132" s="7"/>
      <c r="AN132" s="7"/>
      <c r="AO132" s="7"/>
      <c r="AP132" s="7"/>
      <c r="AQ132" s="7"/>
      <c r="AR132" s="7"/>
      <c r="AS132" s="7"/>
      <c r="AT132" s="7"/>
      <c r="AU132" s="7"/>
      <c r="AV132" s="7"/>
      <c r="AW132" s="7"/>
    </row>
    <row r="133" spans="21:49" ht="14.25" customHeight="1">
      <c r="U133" s="306"/>
      <c r="V133" s="304"/>
      <c r="AB133" s="7"/>
      <c r="AC133" s="7"/>
      <c r="AD133" s="7"/>
      <c r="AE133" s="7"/>
      <c r="AF133" s="7"/>
      <c r="AG133" s="7"/>
      <c r="AH133" s="7"/>
      <c r="AI133" s="7"/>
      <c r="AJ133" s="7"/>
      <c r="AK133" s="7"/>
      <c r="AL133" s="7"/>
      <c r="AM133" s="7"/>
      <c r="AN133" s="7"/>
      <c r="AO133" s="7"/>
      <c r="AP133" s="7"/>
      <c r="AQ133" s="7"/>
      <c r="AR133" s="7"/>
      <c r="AS133" s="7"/>
      <c r="AT133" s="7"/>
      <c r="AU133" s="7"/>
      <c r="AV133" s="7"/>
      <c r="AW133" s="7"/>
    </row>
    <row r="134" spans="21:49" ht="14.25" customHeight="1">
      <c r="U134" s="306"/>
      <c r="V134" s="304"/>
      <c r="AB134" s="7"/>
      <c r="AC134" s="7"/>
      <c r="AD134" s="7"/>
      <c r="AE134" s="7"/>
      <c r="AF134" s="7"/>
      <c r="AG134" s="7"/>
      <c r="AH134" s="7"/>
      <c r="AI134" s="7"/>
      <c r="AJ134" s="7"/>
      <c r="AK134" s="7"/>
      <c r="AL134" s="7"/>
      <c r="AM134" s="7"/>
      <c r="AN134" s="7"/>
      <c r="AO134" s="7"/>
      <c r="AP134" s="7"/>
      <c r="AQ134" s="7"/>
      <c r="AR134" s="7"/>
      <c r="AS134" s="7"/>
      <c r="AT134" s="7"/>
      <c r="AU134" s="7"/>
      <c r="AV134" s="7"/>
      <c r="AW134" s="7"/>
    </row>
    <row r="135" spans="21:49" ht="14.25" customHeight="1">
      <c r="U135" s="306"/>
      <c r="V135" s="304"/>
      <c r="AB135" s="7"/>
      <c r="AC135" s="7"/>
      <c r="AD135" s="7"/>
      <c r="AE135" s="7"/>
      <c r="AF135" s="7"/>
      <c r="AG135" s="7"/>
      <c r="AH135" s="7"/>
      <c r="AI135" s="7"/>
      <c r="AJ135" s="7"/>
      <c r="AK135" s="7"/>
      <c r="AL135" s="7"/>
      <c r="AM135" s="7"/>
      <c r="AN135" s="7"/>
      <c r="AO135" s="7"/>
      <c r="AP135" s="7"/>
      <c r="AQ135" s="7"/>
      <c r="AR135" s="7"/>
      <c r="AS135" s="7"/>
      <c r="AT135" s="7"/>
      <c r="AU135" s="7"/>
      <c r="AV135" s="7"/>
      <c r="AW135" s="7"/>
    </row>
    <row r="136" spans="21:49" ht="14.25" customHeight="1">
      <c r="U136" s="306"/>
      <c r="V136" s="304"/>
      <c r="AB136" s="7"/>
      <c r="AC136" s="7"/>
      <c r="AD136" s="7"/>
      <c r="AE136" s="7"/>
      <c r="AF136" s="7"/>
      <c r="AG136" s="7"/>
      <c r="AH136" s="7"/>
      <c r="AI136" s="7"/>
      <c r="AJ136" s="7"/>
      <c r="AK136" s="7"/>
      <c r="AL136" s="7"/>
      <c r="AM136" s="7"/>
      <c r="AN136" s="7"/>
      <c r="AO136" s="7"/>
      <c r="AP136" s="7"/>
      <c r="AQ136" s="7"/>
      <c r="AR136" s="7"/>
      <c r="AS136" s="7"/>
      <c r="AT136" s="7"/>
      <c r="AU136" s="7"/>
      <c r="AV136" s="7"/>
      <c r="AW136" s="7"/>
    </row>
    <row r="137" spans="21:49" ht="14.25" customHeight="1">
      <c r="U137" s="306"/>
      <c r="V137" s="304"/>
      <c r="AB137" s="7"/>
      <c r="AC137" s="7"/>
      <c r="AD137" s="7"/>
      <c r="AE137" s="7"/>
      <c r="AF137" s="7"/>
      <c r="AG137" s="7"/>
      <c r="AH137" s="7"/>
      <c r="AI137" s="7"/>
      <c r="AJ137" s="7"/>
      <c r="AK137" s="7"/>
      <c r="AL137" s="7"/>
      <c r="AM137" s="7"/>
      <c r="AN137" s="7"/>
      <c r="AO137" s="7"/>
      <c r="AP137" s="7"/>
      <c r="AQ137" s="7"/>
      <c r="AR137" s="7"/>
      <c r="AS137" s="7"/>
      <c r="AT137" s="7"/>
      <c r="AU137" s="7"/>
      <c r="AV137" s="7"/>
      <c r="AW137" s="7"/>
    </row>
    <row r="138" spans="21:49" ht="14.25" customHeight="1">
      <c r="U138" s="306"/>
      <c r="V138" s="304"/>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21:49" ht="14.25" customHeight="1">
      <c r="U139" s="306"/>
      <c r="V139" s="304"/>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22:49" ht="14.25" customHeight="1">
      <c r="V140" s="304"/>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8:49" ht="14.25" customHeight="1">
      <c r="R141" s="307"/>
      <c r="U141" s="306"/>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8:22" ht="14.25" customHeight="1">
      <c r="R142" s="301"/>
      <c r="U142" s="306"/>
      <c r="V142" s="304"/>
    </row>
    <row r="143" spans="21:22" ht="14.25" customHeight="1">
      <c r="U143" s="306"/>
      <c r="V143" s="304"/>
    </row>
    <row r="144" spans="21:22" ht="14.25" customHeight="1">
      <c r="U144" s="306"/>
      <c r="V144" s="304"/>
    </row>
    <row r="145" spans="21:22" ht="14.25" customHeight="1">
      <c r="U145" s="306"/>
      <c r="V145" s="304"/>
    </row>
    <row r="146" spans="21:22" ht="14.25" customHeight="1">
      <c r="U146" s="306"/>
      <c r="V146" s="304"/>
    </row>
    <row r="147" spans="21:22" ht="14.25" customHeight="1">
      <c r="U147" s="306"/>
      <c r="V147" s="304"/>
    </row>
    <row r="148" spans="21:22" ht="14.25" customHeight="1">
      <c r="U148" s="306"/>
      <c r="V148" s="304"/>
    </row>
    <row r="151" spans="18:21" ht="14.25" customHeight="1">
      <c r="R151" s="307"/>
      <c r="U151" s="306"/>
    </row>
    <row r="152" spans="21:22" ht="14.25" customHeight="1">
      <c r="U152" s="306"/>
      <c r="V152" s="301"/>
    </row>
    <row r="153" spans="21:22" ht="14.25" customHeight="1">
      <c r="U153" s="306"/>
      <c r="V153" s="301"/>
    </row>
    <row r="154" spans="21:22" ht="14.25" customHeight="1">
      <c r="U154" s="306"/>
      <c r="V154" s="301"/>
    </row>
    <row r="155" spans="21:22" ht="14.25" customHeight="1">
      <c r="U155" s="306"/>
      <c r="V155" s="301"/>
    </row>
    <row r="156" spans="21:22" ht="14.25" customHeight="1">
      <c r="U156" s="306"/>
      <c r="V156" s="301"/>
    </row>
    <row r="157" spans="21:22" ht="14.25" customHeight="1">
      <c r="U157" s="306"/>
      <c r="V157" s="301"/>
    </row>
    <row r="158" spans="18:22" ht="14.25" customHeight="1">
      <c r="R158" s="301"/>
      <c r="U158" s="306"/>
      <c r="V158" s="301"/>
    </row>
    <row r="160" ht="14.25" customHeight="1">
      <c r="R160" s="301"/>
    </row>
    <row r="161" spans="18:21" ht="14.25" customHeight="1">
      <c r="R161" s="307"/>
      <c r="U161" s="306"/>
    </row>
    <row r="162" spans="21:22" ht="14.25" customHeight="1">
      <c r="U162" s="306"/>
      <c r="V162" s="301"/>
    </row>
    <row r="163" spans="21:22" ht="14.25" customHeight="1">
      <c r="U163" s="306"/>
      <c r="V163" s="301"/>
    </row>
    <row r="164" spans="21:22" ht="14.25" customHeight="1">
      <c r="U164" s="306"/>
      <c r="V164" s="301"/>
    </row>
    <row r="165" spans="21:22" ht="14.25" customHeight="1">
      <c r="U165" s="306"/>
      <c r="V165" s="301"/>
    </row>
    <row r="166" spans="21:22" ht="14.25" customHeight="1">
      <c r="U166" s="306"/>
      <c r="V166" s="301"/>
    </row>
    <row r="167" spans="21:22" ht="14.25" customHeight="1">
      <c r="U167" s="306"/>
      <c r="V167" s="301"/>
    </row>
    <row r="168" spans="21:22" ht="14.25" customHeight="1">
      <c r="U168" s="306"/>
      <c r="V168" s="301"/>
    </row>
    <row r="169" ht="14.25" customHeight="1">
      <c r="U169" s="301"/>
    </row>
    <row r="170" spans="18:21" ht="14.25" customHeight="1">
      <c r="R170" s="307"/>
      <c r="U170" s="306"/>
    </row>
    <row r="171" spans="21:22" ht="14.25" customHeight="1">
      <c r="U171" s="306"/>
      <c r="V171" s="301"/>
    </row>
    <row r="172" spans="21:22" ht="14.25" customHeight="1">
      <c r="U172" s="306"/>
      <c r="V172" s="301"/>
    </row>
    <row r="173" spans="21:22" ht="14.25" customHeight="1">
      <c r="U173" s="306"/>
      <c r="V173" s="301"/>
    </row>
    <row r="174" spans="21:22" ht="14.25" customHeight="1">
      <c r="U174" s="306"/>
      <c r="V174" s="301"/>
    </row>
    <row r="175" spans="21:22" ht="14.25" customHeight="1">
      <c r="U175" s="306"/>
      <c r="V175" s="301"/>
    </row>
    <row r="176" spans="21:22" ht="14.25" customHeight="1">
      <c r="U176" s="306"/>
      <c r="V176" s="301"/>
    </row>
    <row r="177" spans="21:22" ht="14.25" customHeight="1">
      <c r="U177" s="306"/>
      <c r="V177" s="301"/>
    </row>
    <row r="179" spans="18:21" ht="14.25" customHeight="1">
      <c r="R179" s="307"/>
      <c r="U179" s="306"/>
    </row>
    <row r="180" spans="21:22" ht="14.25" customHeight="1">
      <c r="U180" s="306"/>
      <c r="V180" s="301"/>
    </row>
    <row r="181" spans="21:22" ht="14.25" customHeight="1">
      <c r="U181" s="306"/>
      <c r="V181" s="301"/>
    </row>
    <row r="182" spans="21:22" ht="14.25" customHeight="1">
      <c r="U182" s="306"/>
      <c r="V182" s="301"/>
    </row>
    <row r="183" spans="21:22" ht="14.25" customHeight="1">
      <c r="U183" s="306"/>
      <c r="V183" s="301"/>
    </row>
    <row r="184" spans="21:22" ht="14.25" customHeight="1">
      <c r="U184" s="306"/>
      <c r="V184" s="301"/>
    </row>
    <row r="185" spans="21:22" ht="14.25" customHeight="1">
      <c r="U185" s="306"/>
      <c r="V185" s="301"/>
    </row>
    <row r="186" spans="21:22" ht="14.25" customHeight="1">
      <c r="U186" s="306"/>
      <c r="V186" s="301"/>
    </row>
    <row r="187" spans="21:22" ht="14.25" customHeight="1">
      <c r="U187" s="306"/>
      <c r="V187" s="301"/>
    </row>
    <row r="188" spans="21:22" ht="14.25" customHeight="1">
      <c r="U188" s="306"/>
      <c r="V188" s="301"/>
    </row>
    <row r="189" spans="21:22" ht="14.25" customHeight="1">
      <c r="U189" s="301"/>
      <c r="V189" s="304"/>
    </row>
    <row r="190" spans="21:22" ht="14.25" customHeight="1">
      <c r="U190" s="301"/>
      <c r="V190" s="304"/>
    </row>
    <row r="191" spans="18:22" ht="14.25" customHeight="1">
      <c r="R191" s="307"/>
      <c r="U191" s="301"/>
      <c r="V191" s="304"/>
    </row>
    <row r="192" spans="21:22" ht="14.25" customHeight="1">
      <c r="U192" s="301"/>
      <c r="V192" s="304"/>
    </row>
    <row r="193" spans="21:22" ht="14.25" customHeight="1">
      <c r="U193" s="301"/>
      <c r="V193" s="304"/>
    </row>
    <row r="194" spans="21:22" ht="14.25" customHeight="1">
      <c r="U194" s="301"/>
      <c r="V194" s="304"/>
    </row>
    <row r="195" spans="21:22" ht="14.25" customHeight="1">
      <c r="U195" s="301"/>
      <c r="V195" s="304"/>
    </row>
    <row r="196" spans="21:22" ht="14.25" customHeight="1">
      <c r="U196" s="301"/>
      <c r="V196" s="304"/>
    </row>
    <row r="197" spans="21:22" ht="14.25" customHeight="1">
      <c r="U197" s="306"/>
      <c r="V197" s="301"/>
    </row>
    <row r="198" spans="21:22" ht="14.25" customHeight="1">
      <c r="U198" s="306"/>
      <c r="V198" s="301"/>
    </row>
    <row r="199" spans="21:22" ht="14.25" customHeight="1">
      <c r="U199" s="301"/>
      <c r="V199" s="304"/>
    </row>
    <row r="200" spans="21:22" ht="14.25" customHeight="1">
      <c r="U200" s="301"/>
      <c r="V200" s="304"/>
    </row>
    <row r="201" spans="18:22" ht="14.25" customHeight="1">
      <c r="R201" s="307"/>
      <c r="U201" s="301"/>
      <c r="V201" s="304"/>
    </row>
    <row r="202" spans="21:22" ht="14.25" customHeight="1">
      <c r="U202" s="301"/>
      <c r="V202" s="304"/>
    </row>
    <row r="203" spans="21:22" ht="14.25" customHeight="1">
      <c r="U203" s="301"/>
      <c r="V203" s="304"/>
    </row>
    <row r="204" spans="21:22" ht="14.25" customHeight="1">
      <c r="U204" s="301"/>
      <c r="V204" s="304"/>
    </row>
    <row r="205" spans="21:22" ht="14.25" customHeight="1">
      <c r="U205" s="301"/>
      <c r="V205" s="304"/>
    </row>
    <row r="206" spans="21:22" ht="14.25" customHeight="1">
      <c r="U206" s="301"/>
      <c r="V206" s="304"/>
    </row>
    <row r="207" spans="21:22" ht="14.25" customHeight="1">
      <c r="U207" s="306"/>
      <c r="V207" s="301"/>
    </row>
    <row r="208" spans="21:22" ht="14.25" customHeight="1">
      <c r="U208" s="306"/>
      <c r="V208" s="301"/>
    </row>
    <row r="211" spans="18:21" ht="14.25" customHeight="1">
      <c r="R211" s="307"/>
      <c r="U211" s="306"/>
    </row>
    <row r="212" spans="18:22" ht="14.25" customHeight="1">
      <c r="R212" s="307"/>
      <c r="U212" s="306"/>
      <c r="V212" s="301"/>
    </row>
    <row r="213" spans="18:22" ht="14.25" customHeight="1">
      <c r="R213" s="307"/>
      <c r="U213" s="306"/>
      <c r="V213" s="301"/>
    </row>
    <row r="214" spans="18:22" ht="14.25" customHeight="1">
      <c r="R214" s="307"/>
      <c r="U214" s="306"/>
      <c r="V214" s="301"/>
    </row>
    <row r="215" spans="18:22" ht="14.25" customHeight="1">
      <c r="R215" s="307"/>
      <c r="U215" s="306"/>
      <c r="V215" s="301"/>
    </row>
    <row r="216" spans="18:22" ht="14.25" customHeight="1">
      <c r="R216" s="307"/>
      <c r="U216" s="306"/>
      <c r="V216" s="301"/>
    </row>
    <row r="217" spans="18:22" ht="14.25" customHeight="1">
      <c r="R217" s="307"/>
      <c r="U217" s="306"/>
      <c r="V217" s="301"/>
    </row>
    <row r="218" spans="18:22" ht="14.25" customHeight="1">
      <c r="R218" s="307"/>
      <c r="U218" s="306"/>
      <c r="V218" s="301"/>
    </row>
    <row r="219" ht="14.25" customHeight="1">
      <c r="R219" s="307"/>
    </row>
    <row r="220" ht="14.25" customHeight="1">
      <c r="R220" s="307"/>
    </row>
    <row r="221" spans="18:21" ht="14.25" customHeight="1">
      <c r="R221" s="307"/>
      <c r="U221" s="306"/>
    </row>
    <row r="222" spans="18:22" ht="14.25" customHeight="1">
      <c r="R222" s="307"/>
      <c r="U222" s="306"/>
      <c r="V222" s="301"/>
    </row>
    <row r="223" spans="18:22" ht="14.25" customHeight="1">
      <c r="R223" s="307"/>
      <c r="U223" s="306"/>
      <c r="V223" s="301"/>
    </row>
    <row r="224" spans="18:22" ht="14.25" customHeight="1">
      <c r="R224" s="307"/>
      <c r="U224" s="306"/>
      <c r="V224" s="301"/>
    </row>
    <row r="225" spans="18:22" ht="14.25" customHeight="1">
      <c r="R225" s="307"/>
      <c r="U225" s="306"/>
      <c r="V225" s="301"/>
    </row>
    <row r="226" spans="18:22" ht="14.25" customHeight="1">
      <c r="R226" s="307"/>
      <c r="U226" s="306"/>
      <c r="V226" s="301"/>
    </row>
    <row r="227" spans="18:22" ht="14.25" customHeight="1">
      <c r="R227" s="307"/>
      <c r="U227" s="306"/>
      <c r="V227" s="301"/>
    </row>
    <row r="228" spans="18:22" ht="14.25" customHeight="1">
      <c r="R228" s="307"/>
      <c r="U228" s="306"/>
      <c r="V228" s="301"/>
    </row>
    <row r="229" ht="14.25" customHeight="1">
      <c r="R229" s="307"/>
    </row>
    <row r="230" ht="14.25" customHeight="1">
      <c r="R230" s="307"/>
    </row>
    <row r="231" spans="18:21" ht="14.25" customHeight="1">
      <c r="R231" s="307"/>
      <c r="U231" s="306"/>
    </row>
    <row r="232" spans="18:22" ht="14.25" customHeight="1">
      <c r="R232" s="307"/>
      <c r="U232" s="306"/>
      <c r="V232" s="301"/>
    </row>
    <row r="233" spans="18:22" ht="14.25" customHeight="1">
      <c r="R233" s="307"/>
      <c r="U233" s="306"/>
      <c r="V233" s="301"/>
    </row>
    <row r="234" spans="18:22" ht="14.25" customHeight="1">
      <c r="R234" s="307"/>
      <c r="U234" s="306"/>
      <c r="V234" s="301"/>
    </row>
    <row r="235" spans="18:22" ht="14.25" customHeight="1">
      <c r="R235" s="307"/>
      <c r="U235" s="306"/>
      <c r="V235" s="301"/>
    </row>
    <row r="236" spans="18:22" ht="14.25" customHeight="1">
      <c r="R236" s="307"/>
      <c r="U236" s="306"/>
      <c r="V236" s="301"/>
    </row>
    <row r="237" spans="18:22" ht="14.25" customHeight="1">
      <c r="R237" s="307"/>
      <c r="U237" s="306"/>
      <c r="V237" s="301"/>
    </row>
    <row r="238" spans="18:22" ht="14.25" customHeight="1">
      <c r="R238" s="307"/>
      <c r="U238" s="306"/>
      <c r="V238" s="301"/>
    </row>
    <row r="239" ht="14.25" customHeight="1">
      <c r="R239" s="307"/>
    </row>
    <row r="240" ht="14.25" customHeight="1">
      <c r="R240" s="307"/>
    </row>
    <row r="241" spans="18:21" ht="14.25" customHeight="1">
      <c r="R241" s="307"/>
      <c r="U241" s="306"/>
    </row>
    <row r="242" spans="21:22" ht="14.25" customHeight="1">
      <c r="U242" s="306"/>
      <c r="V242" s="301"/>
    </row>
    <row r="243" spans="21:22" ht="14.25" customHeight="1">
      <c r="U243" s="306"/>
      <c r="V243" s="301"/>
    </row>
    <row r="244" spans="21:22" ht="14.25" customHeight="1">
      <c r="U244" s="306"/>
      <c r="V244" s="301"/>
    </row>
    <row r="245" spans="21:22" ht="14.25" customHeight="1">
      <c r="U245" s="306"/>
      <c r="V245" s="301"/>
    </row>
    <row r="246" spans="21:22" ht="14.25" customHeight="1">
      <c r="U246" s="306"/>
      <c r="V246" s="301"/>
    </row>
    <row r="247" spans="21:22" ht="14.25" customHeight="1">
      <c r="U247" s="306"/>
      <c r="V247" s="301"/>
    </row>
    <row r="248" spans="21:22" ht="14.25" customHeight="1">
      <c r="U248" s="306"/>
      <c r="V248" s="301"/>
    </row>
    <row r="251" spans="18:21" ht="14.25" customHeight="1">
      <c r="R251" s="307"/>
      <c r="U251" s="306"/>
    </row>
    <row r="252" spans="21:22" ht="14.25" customHeight="1">
      <c r="U252" s="306"/>
      <c r="V252" s="301"/>
    </row>
    <row r="253" spans="21:22" ht="14.25" customHeight="1">
      <c r="U253" s="306"/>
      <c r="V253" s="301"/>
    </row>
    <row r="254" spans="21:22" ht="14.25" customHeight="1">
      <c r="U254" s="306"/>
      <c r="V254" s="301"/>
    </row>
    <row r="255" spans="21:22" ht="14.25" customHeight="1">
      <c r="U255" s="306"/>
      <c r="V255" s="301"/>
    </row>
    <row r="256" spans="21:22" ht="14.25" customHeight="1">
      <c r="U256" s="306"/>
      <c r="V256" s="301"/>
    </row>
    <row r="257" spans="21:22" ht="14.25" customHeight="1">
      <c r="U257" s="306"/>
      <c r="V257" s="301"/>
    </row>
    <row r="258" spans="21:22" ht="14.25" customHeight="1">
      <c r="U258" s="306"/>
      <c r="V258" s="301"/>
    </row>
    <row r="260" spans="18:21" ht="14.25" customHeight="1">
      <c r="R260" s="307"/>
      <c r="U260" s="306"/>
    </row>
    <row r="261" spans="21:22" ht="14.25" customHeight="1">
      <c r="U261" s="306"/>
      <c r="V261" s="301"/>
    </row>
    <row r="262" spans="21:22" ht="14.25" customHeight="1">
      <c r="U262" s="306"/>
      <c r="V262" s="301"/>
    </row>
    <row r="263" spans="21:22" ht="14.25" customHeight="1">
      <c r="U263" s="306"/>
      <c r="V263" s="301"/>
    </row>
    <row r="264" spans="21:22" ht="14.25" customHeight="1">
      <c r="U264" s="306"/>
      <c r="V264" s="301"/>
    </row>
    <row r="265" spans="21:22" ht="14.25" customHeight="1">
      <c r="U265" s="306"/>
      <c r="V265" s="301"/>
    </row>
    <row r="266" spans="21:22" ht="14.25" customHeight="1">
      <c r="U266" s="306"/>
      <c r="V266" s="301"/>
    </row>
    <row r="267" spans="21:22" ht="14.25" customHeight="1">
      <c r="U267" s="306"/>
      <c r="V267" s="301"/>
    </row>
    <row r="270" spans="18:21" ht="14.25" customHeight="1">
      <c r="R270" s="307"/>
      <c r="U270" s="306"/>
    </row>
    <row r="271" spans="21:22" ht="14.25" customHeight="1">
      <c r="U271" s="306"/>
      <c r="V271" s="301"/>
    </row>
    <row r="272" spans="21:22" ht="14.25" customHeight="1">
      <c r="U272" s="306"/>
      <c r="V272" s="301"/>
    </row>
    <row r="273" spans="21:22" ht="14.25" customHeight="1">
      <c r="U273" s="306"/>
      <c r="V273" s="301"/>
    </row>
    <row r="274" spans="21:22" ht="14.25" customHeight="1">
      <c r="U274" s="306"/>
      <c r="V274" s="301"/>
    </row>
    <row r="275" spans="21:22" ht="14.25" customHeight="1">
      <c r="U275" s="306"/>
      <c r="V275" s="301"/>
    </row>
    <row r="276" spans="21:22" ht="14.25" customHeight="1">
      <c r="U276" s="306"/>
      <c r="V276" s="301"/>
    </row>
    <row r="277" spans="21:22" ht="14.25" customHeight="1">
      <c r="U277" s="306"/>
      <c r="V277" s="301"/>
    </row>
    <row r="280" ht="14.25" customHeight="1">
      <c r="U280" s="306"/>
    </row>
    <row r="281" spans="21:22" ht="14.25" customHeight="1">
      <c r="U281" s="306"/>
      <c r="V281" s="301"/>
    </row>
    <row r="282" spans="21:22" ht="14.25" customHeight="1">
      <c r="U282" s="306"/>
      <c r="V282" s="301"/>
    </row>
    <row r="283" spans="21:22" ht="14.25" customHeight="1">
      <c r="U283" s="306"/>
      <c r="V283" s="301"/>
    </row>
    <row r="284" spans="21:22" ht="14.25" customHeight="1">
      <c r="U284" s="306"/>
      <c r="V284" s="301"/>
    </row>
    <row r="285" spans="21:22" ht="14.25" customHeight="1">
      <c r="U285" s="306"/>
      <c r="V285" s="301"/>
    </row>
    <row r="286" spans="21:22" ht="14.25" customHeight="1">
      <c r="U286" s="306"/>
      <c r="V286" s="301"/>
    </row>
    <row r="287" spans="21:22" ht="14.25" customHeight="1">
      <c r="U287" s="306"/>
      <c r="V287" s="301"/>
    </row>
    <row r="289" ht="14.25" customHeight="1">
      <c r="U289" s="308"/>
    </row>
    <row r="290" spans="19:20" ht="14.25" customHeight="1">
      <c r="S290" s="306"/>
      <c r="T290" s="308"/>
    </row>
    <row r="291" spans="19:20" ht="14.25" customHeight="1">
      <c r="S291" s="306"/>
      <c r="T291" s="308"/>
    </row>
    <row r="292" spans="19:20" ht="14.25" customHeight="1">
      <c r="S292" s="306"/>
      <c r="T292" s="308"/>
    </row>
    <row r="293" spans="19:20" ht="14.25" customHeight="1">
      <c r="S293" s="306"/>
      <c r="T293" s="308"/>
    </row>
    <row r="294" spans="19:20" ht="14.25" customHeight="1">
      <c r="S294" s="306"/>
      <c r="T294" s="308"/>
    </row>
    <row r="295" spans="19:20" ht="14.25" customHeight="1">
      <c r="S295" s="306"/>
      <c r="T295" s="308"/>
    </row>
    <row r="296" ht="14.25" customHeight="1">
      <c r="S296" s="306"/>
    </row>
    <row r="298" ht="14.25" customHeight="1">
      <c r="U298" s="301"/>
    </row>
    <row r="300" ht="14.25" customHeight="1">
      <c r="U300" s="308"/>
    </row>
    <row r="301" ht="14.25" customHeight="1">
      <c r="U301" s="308"/>
    </row>
    <row r="302" ht="14.25" customHeight="1">
      <c r="U302" s="308"/>
    </row>
    <row r="303" spans="21:22" ht="14.25" customHeight="1">
      <c r="U303" s="308"/>
      <c r="V303" s="309"/>
    </row>
    <row r="304" spans="21:22" ht="14.25" customHeight="1">
      <c r="U304" s="308"/>
      <c r="V304" s="309"/>
    </row>
    <row r="305" spans="21:22" ht="14.25" customHeight="1">
      <c r="U305" s="308"/>
      <c r="V305" s="309"/>
    </row>
    <row r="306" spans="21:22" ht="14.25" customHeight="1">
      <c r="U306" s="308"/>
      <c r="V306" s="309"/>
    </row>
    <row r="307" spans="21:22" ht="14.25" customHeight="1">
      <c r="U307" s="308"/>
      <c r="V307" s="309"/>
    </row>
    <row r="308" spans="21:22" ht="14.25" customHeight="1">
      <c r="U308" s="308"/>
      <c r="V308" s="309"/>
    </row>
    <row r="309" spans="21:22" ht="14.25" customHeight="1">
      <c r="U309" s="308"/>
      <c r="V309" s="309"/>
    </row>
    <row r="311" ht="14.25" customHeight="1">
      <c r="X311" s="308"/>
    </row>
    <row r="312" ht="14.25" customHeight="1">
      <c r="X312" s="308"/>
    </row>
    <row r="313" ht="14.25" customHeight="1">
      <c r="X313" s="308"/>
    </row>
    <row r="314" ht="14.25" customHeight="1">
      <c r="X314" s="308"/>
    </row>
    <row r="315" ht="14.25" customHeight="1">
      <c r="X315" s="308"/>
    </row>
    <row r="316" ht="14.25" customHeight="1">
      <c r="X316" s="308"/>
    </row>
    <row r="317" ht="14.25" customHeight="1">
      <c r="X317" s="308"/>
    </row>
    <row r="318" ht="14.25" customHeight="1">
      <c r="X318" s="308"/>
    </row>
    <row r="319" ht="14.25" customHeight="1">
      <c r="X319" s="308"/>
    </row>
    <row r="320" ht="14.25" customHeight="1">
      <c r="X320" s="308"/>
    </row>
    <row r="321" ht="14.25" customHeight="1">
      <c r="X321" s="308"/>
    </row>
    <row r="322" ht="14.25" customHeight="1">
      <c r="X322" s="308"/>
    </row>
    <row r="323" ht="14.25" customHeight="1" thickBot="1"/>
    <row r="324" spans="19:20" ht="14.25" customHeight="1" thickBot="1">
      <c r="S324" s="310"/>
      <c r="T324" s="311"/>
    </row>
    <row r="325" spans="20:25" ht="14.25" customHeight="1">
      <c r="T325" s="311"/>
      <c r="V325" s="301"/>
      <c r="X325" s="306"/>
      <c r="Y325" s="299"/>
    </row>
    <row r="326" spans="20:25" ht="14.25" customHeight="1">
      <c r="T326" s="311"/>
      <c r="V326" s="301"/>
      <c r="X326" s="306"/>
      <c r="Y326" s="299"/>
    </row>
    <row r="327" spans="20:25" ht="14.25" customHeight="1">
      <c r="T327" s="311"/>
      <c r="V327" s="301"/>
      <c r="X327" s="306"/>
      <c r="Y327" s="299"/>
    </row>
    <row r="328" spans="20:25" ht="14.25" customHeight="1">
      <c r="T328" s="311"/>
      <c r="V328" s="301"/>
      <c r="X328" s="306"/>
      <c r="Y328" s="299"/>
    </row>
    <row r="329" spans="20:25" ht="14.25" customHeight="1">
      <c r="T329" s="311"/>
      <c r="V329" s="301"/>
      <c r="X329" s="306"/>
      <c r="Y329" s="299"/>
    </row>
    <row r="330" spans="20:25" ht="14.25" customHeight="1">
      <c r="T330" s="311"/>
      <c r="V330" s="301"/>
      <c r="X330" s="306"/>
      <c r="Y330" s="299"/>
    </row>
    <row r="331" ht="14.25" customHeight="1">
      <c r="T331" s="311"/>
    </row>
    <row r="332" spans="24:25" ht="14.25" customHeight="1">
      <c r="X332" s="299"/>
      <c r="Y332" s="299"/>
    </row>
    <row r="333" spans="24:25" ht="14.25" customHeight="1">
      <c r="X333" s="299"/>
      <c r="Y333" s="299"/>
    </row>
    <row r="334" spans="24:25" ht="14.25" customHeight="1">
      <c r="X334" s="299"/>
      <c r="Y334" s="299"/>
    </row>
    <row r="335" spans="20:25" ht="14.25" customHeight="1">
      <c r="T335" s="311"/>
      <c r="U335" s="301"/>
      <c r="X335" s="299"/>
      <c r="Y335" s="299"/>
    </row>
    <row r="336" spans="20:25" ht="14.25" customHeight="1">
      <c r="T336" s="311"/>
      <c r="U336" s="301"/>
      <c r="X336" s="299"/>
      <c r="Y336" s="299"/>
    </row>
    <row r="337" spans="20:25" ht="14.25" customHeight="1">
      <c r="T337" s="311"/>
      <c r="U337" s="301"/>
      <c r="X337" s="299"/>
      <c r="Y337" s="299"/>
    </row>
    <row r="338" spans="20:21" ht="14.25" customHeight="1">
      <c r="T338" s="311"/>
      <c r="U338" s="301"/>
    </row>
    <row r="339" spans="20:21" ht="14.25" customHeight="1">
      <c r="T339" s="311"/>
      <c r="U339" s="301"/>
    </row>
    <row r="340" spans="20:23" ht="14.25" customHeight="1">
      <c r="T340" s="311"/>
      <c r="U340" s="301"/>
      <c r="W340" s="312"/>
    </row>
    <row r="341" ht="14.25" customHeight="1">
      <c r="T341" s="311"/>
    </row>
    <row r="347" ht="14.25" customHeight="1">
      <c r="V347" s="312"/>
    </row>
    <row r="349" ht="14.25" customHeight="1" thickBot="1"/>
    <row r="350" ht="14.25" customHeight="1" thickBot="1">
      <c r="V350" s="313"/>
    </row>
  </sheetData>
  <sheetProtection formatRows="0"/>
  <autoFilter ref="A15:AA73"/>
  <mergeCells count="114">
    <mergeCell ref="X58:X73"/>
    <mergeCell ref="Y58:Y65"/>
    <mergeCell ref="Z58:Z65"/>
    <mergeCell ref="AA58:AA73"/>
    <mergeCell ref="Y66:Y73"/>
    <mergeCell ref="Z66:Z73"/>
    <mergeCell ref="R58:R73"/>
    <mergeCell ref="S58:S73"/>
    <mergeCell ref="T58:T73"/>
    <mergeCell ref="U58:U73"/>
    <mergeCell ref="V58:V73"/>
    <mergeCell ref="W58:W73"/>
    <mergeCell ref="AA42:AA57"/>
    <mergeCell ref="H58:H73"/>
    <mergeCell ref="I58:I73"/>
    <mergeCell ref="J58:J73"/>
    <mergeCell ref="K58:K73"/>
    <mergeCell ref="M58:M73"/>
    <mergeCell ref="N58:N73"/>
    <mergeCell ref="O58:O73"/>
    <mergeCell ref="P58:P73"/>
    <mergeCell ref="Q58:Q73"/>
    <mergeCell ref="U42:U57"/>
    <mergeCell ref="V42:V57"/>
    <mergeCell ref="W42:W57"/>
    <mergeCell ref="X42:X57"/>
    <mergeCell ref="Y42:Y57"/>
    <mergeCell ref="Z42:Z57"/>
    <mergeCell ref="O42:O57"/>
    <mergeCell ref="P42:P57"/>
    <mergeCell ref="Q42:Q57"/>
    <mergeCell ref="R42:R57"/>
    <mergeCell ref="S42:S57"/>
    <mergeCell ref="T42:T57"/>
    <mergeCell ref="AA26:AA29"/>
    <mergeCell ref="AA30:AA33"/>
    <mergeCell ref="AA34:AA37"/>
    <mergeCell ref="AA38:AA41"/>
    <mergeCell ref="H42:H57"/>
    <mergeCell ref="I42:I57"/>
    <mergeCell ref="J42:J57"/>
    <mergeCell ref="K42:K57"/>
    <mergeCell ref="M42:M57"/>
    <mergeCell ref="N42:N57"/>
    <mergeCell ref="U26:U41"/>
    <mergeCell ref="V26:V41"/>
    <mergeCell ref="W26:W41"/>
    <mergeCell ref="X26:X41"/>
    <mergeCell ref="Y26:Y41"/>
    <mergeCell ref="Z26:Z41"/>
    <mergeCell ref="O26:O41"/>
    <mergeCell ref="P26:P41"/>
    <mergeCell ref="Q26:Q41"/>
    <mergeCell ref="R26:R41"/>
    <mergeCell ref="S26:S41"/>
    <mergeCell ref="T26:T41"/>
    <mergeCell ref="H26:H41"/>
    <mergeCell ref="I26:I41"/>
    <mergeCell ref="J26:J41"/>
    <mergeCell ref="K26:K41"/>
    <mergeCell ref="M26:M41"/>
    <mergeCell ref="N26:N41"/>
    <mergeCell ref="X16:X25"/>
    <mergeCell ref="Y16:Y25"/>
    <mergeCell ref="Z16:Z25"/>
    <mergeCell ref="AA16:AA25"/>
    <mergeCell ref="N16:N25"/>
    <mergeCell ref="O16:O25"/>
    <mergeCell ref="P16:P25"/>
    <mergeCell ref="R16:R25"/>
    <mergeCell ref="S16:S25"/>
    <mergeCell ref="T16:T25"/>
    <mergeCell ref="U16:U25"/>
    <mergeCell ref="V16:V25"/>
    <mergeCell ref="W16:W25"/>
    <mergeCell ref="H16:H25"/>
    <mergeCell ref="I16:I25"/>
    <mergeCell ref="J16:J25"/>
    <mergeCell ref="K16:K25"/>
    <mergeCell ref="M16:M25"/>
    <mergeCell ref="Q16:Q25"/>
    <mergeCell ref="AO14:AP14"/>
    <mergeCell ref="AQ14:AR14"/>
    <mergeCell ref="AW14:AX14"/>
    <mergeCell ref="AY14:AZ14"/>
    <mergeCell ref="BA14:BB14"/>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74:T74 AW74:BB74">
    <cfRule type="cellIs" priority="4" dxfId="6" operator="notEqual" stopIfTrue="1">
      <formula>#REF!</formula>
    </cfRule>
  </conditionalFormatting>
  <conditionalFormatting sqref="Q16:V73">
    <cfRule type="cellIs" priority="3" dxfId="7" operator="notEqual" stopIfTrue="1">
      <formula>AW16</formula>
    </cfRule>
  </conditionalFormatting>
  <conditionalFormatting sqref="H16:H73">
    <cfRule type="containsText" priority="1" dxfId="1" operator="containsText" stopIfTrue="1" text="X">
      <formula>NOT(ISERROR(SEARCH("X",H16)))</formula>
    </cfRule>
    <cfRule type="containsText" priority="2" dxfId="0" operator="containsText" stopIfTrue="1" text="X">
      <formula>NOT(ISERROR(SEARCH("X",H16)))</formula>
    </cfRule>
  </conditionalFormatting>
  <dataValidations count="1">
    <dataValidation type="whole" allowBlank="1" showInputMessage="1" showErrorMessage="1" sqref="AC16:AR73">
      <formula1>0</formula1>
      <formula2>99999999999</formula2>
    </dataValidation>
  </dataValidations>
  <printOptions/>
  <pageMargins left="0.7" right="0.7" top="0.75" bottom="0.75" header="0.3" footer="0.3"/>
  <pageSetup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sheetPr codeName="Hoja4">
    <tabColor rgb="FF00B0F0"/>
  </sheetPr>
  <dimension ref="A1:AY63"/>
  <sheetViews>
    <sheetView showGridLines="0" zoomScalePageLayoutView="0" workbookViewId="0" topLeftCell="C9">
      <selection activeCell="F38" sqref="F38"/>
    </sheetView>
  </sheetViews>
  <sheetFormatPr defaultColWidth="0" defaultRowHeight="15" outlineLevelRow="2"/>
  <cols>
    <col min="1" max="1" width="6.421875" style="6" hidden="1" customWidth="1"/>
    <col min="2" max="2" width="6.28125" style="6" hidden="1" customWidth="1"/>
    <col min="3" max="3" width="6.57421875" style="6" customWidth="1"/>
    <col min="4" max="4" width="9.57421875" style="6" customWidth="1"/>
    <col min="5" max="5" width="4.28125" style="6" customWidth="1"/>
    <col min="6" max="6" width="15.28125" style="6" customWidth="1"/>
    <col min="7" max="7" width="4.28125" style="6" customWidth="1"/>
    <col min="8" max="8" width="3.7109375" style="6" customWidth="1"/>
    <col min="9" max="9" width="3.140625" style="6" customWidth="1"/>
    <col min="10" max="10" width="16.7109375" style="6" customWidth="1"/>
    <col min="11" max="11" width="8.140625" style="6" customWidth="1"/>
    <col min="12" max="12" width="10.00390625" style="317" customWidth="1"/>
    <col min="13" max="13" width="16.421875" style="6" customWidth="1"/>
    <col min="14" max="14" width="15.57421875" style="6" customWidth="1"/>
    <col min="15" max="15" width="19.00390625" style="6" customWidth="1"/>
    <col min="16" max="16" width="16.57421875" style="6" customWidth="1"/>
    <col min="17" max="17" width="16.7109375" style="6" customWidth="1"/>
    <col min="18" max="18" width="15.57421875" style="6" customWidth="1"/>
    <col min="19" max="19" width="38.28125" style="6" customWidth="1"/>
    <col min="20" max="20" width="24.7109375" style="6" customWidth="1"/>
    <col min="21" max="21" width="16.7109375" style="6" customWidth="1"/>
    <col min="22" max="22" width="16.57421875" style="6" customWidth="1"/>
    <col min="23" max="23" width="7.57421875" style="6" customWidth="1"/>
    <col min="24" max="24" width="11.140625" style="6" customWidth="1"/>
    <col min="25" max="25" width="16.421875" style="6" customWidth="1"/>
    <col min="26" max="26" width="2.57421875" style="6" customWidth="1"/>
    <col min="27" max="27" width="11.140625" style="6" customWidth="1"/>
    <col min="28" max="28" width="16.421875" style="6" customWidth="1"/>
    <col min="29" max="29" width="2.57421875" style="6" customWidth="1"/>
    <col min="30" max="30" width="11.140625" style="6" customWidth="1"/>
    <col min="31" max="31" width="16.421875" style="6" customWidth="1"/>
    <col min="32" max="32" width="2.57421875" style="6" customWidth="1"/>
    <col min="33" max="33" width="11.140625" style="6" customWidth="1"/>
    <col min="34" max="34" width="16.421875" style="6" customWidth="1"/>
    <col min="35" max="35" width="2.57421875" style="6" customWidth="1"/>
    <col min="36" max="36" width="11.140625" style="6" customWidth="1"/>
    <col min="37" max="37" width="16.421875" style="6" customWidth="1"/>
    <col min="38" max="38" width="2.57421875" style="6" customWidth="1"/>
    <col min="39" max="39" width="11.140625" style="6" customWidth="1"/>
    <col min="40" max="40" width="16.421875" style="6" customWidth="1"/>
    <col min="41" max="41" width="2.57421875" style="6" customWidth="1"/>
    <col min="42" max="42" width="11.140625" style="6" customWidth="1"/>
    <col min="43" max="43" width="16.421875" style="6" customWidth="1"/>
    <col min="44" max="44" width="2.57421875" style="6" customWidth="1"/>
    <col min="45" max="45" width="11.140625" style="6" customWidth="1"/>
    <col min="46" max="46" width="16.421875" style="6" customWidth="1"/>
    <col min="47" max="47" width="2.57421875" style="6" customWidth="1"/>
    <col min="48" max="48" width="11.421875" style="6" customWidth="1"/>
    <col min="49" max="16384" width="11.421875" style="6" hidden="1" customWidth="1"/>
  </cols>
  <sheetData>
    <row r="1" spans="1:51" s="177" customFormat="1" ht="12">
      <c r="A1" s="170"/>
      <c r="B1" s="171"/>
      <c r="C1" s="173"/>
      <c r="D1" s="174" t="s">
        <v>192</v>
      </c>
      <c r="E1" s="175"/>
      <c r="F1" s="175"/>
      <c r="G1" s="175"/>
      <c r="H1" s="175"/>
      <c r="I1" s="176"/>
      <c r="J1" s="167" t="s">
        <v>118</v>
      </c>
      <c r="K1" s="168"/>
      <c r="L1" s="168"/>
      <c r="M1" s="169"/>
      <c r="N1" s="174"/>
      <c r="O1" s="176"/>
      <c r="P1" s="174"/>
      <c r="Q1" s="175"/>
      <c r="R1" s="176"/>
      <c r="S1" s="191" t="s">
        <v>193</v>
      </c>
      <c r="T1" s="192"/>
      <c r="U1" s="192"/>
      <c r="V1" s="192"/>
      <c r="W1" s="192"/>
      <c r="X1" s="192"/>
      <c r="Y1" s="192"/>
      <c r="Z1" s="192"/>
      <c r="AA1" s="193"/>
      <c r="AB1" s="167" t="s">
        <v>118</v>
      </c>
      <c r="AC1" s="168"/>
      <c r="AD1" s="168"/>
      <c r="AE1" s="169"/>
      <c r="AF1" s="314"/>
      <c r="AG1" s="314"/>
      <c r="AH1" s="174"/>
      <c r="AI1" s="175"/>
      <c r="AJ1" s="176"/>
      <c r="AK1" s="191" t="s">
        <v>194</v>
      </c>
      <c r="AL1" s="192"/>
      <c r="AM1" s="192"/>
      <c r="AN1" s="192"/>
      <c r="AO1" s="192"/>
      <c r="AP1" s="192"/>
      <c r="AQ1" s="192"/>
      <c r="AR1" s="193"/>
      <c r="AS1" s="167" t="s">
        <v>118</v>
      </c>
      <c r="AT1" s="168"/>
      <c r="AU1" s="168"/>
      <c r="AV1" s="169"/>
      <c r="AW1" s="170"/>
      <c r="AX1" s="171"/>
      <c r="AY1" s="173"/>
    </row>
    <row r="2" spans="1:51" s="177" customFormat="1" ht="12">
      <c r="A2" s="187"/>
      <c r="B2" s="188"/>
      <c r="C2" s="190"/>
      <c r="D2" s="191"/>
      <c r="E2" s="192"/>
      <c r="F2" s="192"/>
      <c r="G2" s="192"/>
      <c r="H2" s="192"/>
      <c r="I2" s="193"/>
      <c r="J2" s="184"/>
      <c r="K2" s="185"/>
      <c r="L2" s="185"/>
      <c r="M2" s="186"/>
      <c r="N2" s="191"/>
      <c r="O2" s="193"/>
      <c r="P2" s="191"/>
      <c r="Q2" s="192"/>
      <c r="R2" s="193"/>
      <c r="S2" s="191"/>
      <c r="T2" s="192"/>
      <c r="U2" s="192"/>
      <c r="V2" s="192"/>
      <c r="W2" s="192"/>
      <c r="X2" s="192"/>
      <c r="Y2" s="192"/>
      <c r="Z2" s="192"/>
      <c r="AA2" s="193"/>
      <c r="AB2" s="184"/>
      <c r="AC2" s="185"/>
      <c r="AD2" s="185"/>
      <c r="AE2" s="186"/>
      <c r="AF2" s="315"/>
      <c r="AG2" s="315"/>
      <c r="AH2" s="191"/>
      <c r="AI2" s="192"/>
      <c r="AJ2" s="193"/>
      <c r="AK2" s="191"/>
      <c r="AL2" s="192"/>
      <c r="AM2" s="192"/>
      <c r="AN2" s="192"/>
      <c r="AO2" s="192"/>
      <c r="AP2" s="192"/>
      <c r="AQ2" s="192"/>
      <c r="AR2" s="193"/>
      <c r="AS2" s="184"/>
      <c r="AT2" s="185"/>
      <c r="AU2" s="185"/>
      <c r="AV2" s="186"/>
      <c r="AW2" s="187"/>
      <c r="AX2" s="188"/>
      <c r="AY2" s="190"/>
    </row>
    <row r="3" spans="1:51" s="177" customFormat="1" ht="12">
      <c r="A3" s="187"/>
      <c r="B3" s="188"/>
      <c r="C3" s="190"/>
      <c r="D3" s="191"/>
      <c r="E3" s="192"/>
      <c r="F3" s="192"/>
      <c r="G3" s="192"/>
      <c r="H3" s="192"/>
      <c r="I3" s="193"/>
      <c r="J3" s="184"/>
      <c r="K3" s="185"/>
      <c r="L3" s="185"/>
      <c r="M3" s="186"/>
      <c r="N3" s="191"/>
      <c r="O3" s="193"/>
      <c r="P3" s="191"/>
      <c r="Q3" s="192"/>
      <c r="R3" s="193"/>
      <c r="S3" s="191"/>
      <c r="T3" s="192"/>
      <c r="U3" s="192"/>
      <c r="V3" s="192"/>
      <c r="W3" s="192"/>
      <c r="X3" s="192"/>
      <c r="Y3" s="192"/>
      <c r="Z3" s="192"/>
      <c r="AA3" s="193"/>
      <c r="AB3" s="184"/>
      <c r="AC3" s="185"/>
      <c r="AD3" s="185"/>
      <c r="AE3" s="186"/>
      <c r="AF3" s="315"/>
      <c r="AG3" s="315"/>
      <c r="AH3" s="191"/>
      <c r="AI3" s="192"/>
      <c r="AJ3" s="193"/>
      <c r="AK3" s="191"/>
      <c r="AL3" s="192"/>
      <c r="AM3" s="192"/>
      <c r="AN3" s="192"/>
      <c r="AO3" s="192"/>
      <c r="AP3" s="192"/>
      <c r="AQ3" s="192"/>
      <c r="AR3" s="193"/>
      <c r="AS3" s="184"/>
      <c r="AT3" s="185"/>
      <c r="AU3" s="185"/>
      <c r="AV3" s="186"/>
      <c r="AW3" s="187"/>
      <c r="AX3" s="188"/>
      <c r="AY3" s="190"/>
    </row>
    <row r="4" spans="1:51" s="177" customFormat="1" ht="12">
      <c r="A4" s="187"/>
      <c r="B4" s="188"/>
      <c r="C4" s="190"/>
      <c r="D4" s="191"/>
      <c r="E4" s="192"/>
      <c r="F4" s="192"/>
      <c r="G4" s="192"/>
      <c r="H4" s="192"/>
      <c r="I4" s="193"/>
      <c r="J4" s="184"/>
      <c r="K4" s="185"/>
      <c r="L4" s="185"/>
      <c r="M4" s="186"/>
      <c r="N4" s="191"/>
      <c r="O4" s="193"/>
      <c r="P4" s="191"/>
      <c r="Q4" s="192"/>
      <c r="R4" s="193"/>
      <c r="S4" s="191"/>
      <c r="T4" s="192"/>
      <c r="U4" s="192"/>
      <c r="V4" s="192"/>
      <c r="W4" s="192"/>
      <c r="X4" s="192"/>
      <c r="Y4" s="192"/>
      <c r="Z4" s="192"/>
      <c r="AA4" s="193"/>
      <c r="AB4" s="184"/>
      <c r="AC4" s="185"/>
      <c r="AD4" s="185"/>
      <c r="AE4" s="186"/>
      <c r="AF4" s="315"/>
      <c r="AG4" s="315"/>
      <c r="AH4" s="191"/>
      <c r="AI4" s="192"/>
      <c r="AJ4" s="193"/>
      <c r="AK4" s="191"/>
      <c r="AL4" s="192"/>
      <c r="AM4" s="192"/>
      <c r="AN4" s="192"/>
      <c r="AO4" s="192"/>
      <c r="AP4" s="192"/>
      <c r="AQ4" s="192"/>
      <c r="AR4" s="193"/>
      <c r="AS4" s="184"/>
      <c r="AT4" s="185"/>
      <c r="AU4" s="185"/>
      <c r="AV4" s="186"/>
      <c r="AW4" s="187"/>
      <c r="AX4" s="188"/>
      <c r="AY4" s="190"/>
    </row>
    <row r="5" spans="1:51" s="177" customFormat="1" ht="12">
      <c r="A5" s="187"/>
      <c r="B5" s="188"/>
      <c r="C5" s="190"/>
      <c r="D5" s="191"/>
      <c r="E5" s="192"/>
      <c r="F5" s="192"/>
      <c r="G5" s="192"/>
      <c r="H5" s="192"/>
      <c r="I5" s="193"/>
      <c r="J5" s="184"/>
      <c r="K5" s="185"/>
      <c r="L5" s="185"/>
      <c r="M5" s="186"/>
      <c r="N5" s="191"/>
      <c r="O5" s="193"/>
      <c r="P5" s="191"/>
      <c r="Q5" s="192"/>
      <c r="R5" s="193"/>
      <c r="S5" s="191"/>
      <c r="T5" s="192"/>
      <c r="U5" s="192"/>
      <c r="V5" s="192"/>
      <c r="W5" s="192"/>
      <c r="X5" s="192"/>
      <c r="Y5" s="192"/>
      <c r="Z5" s="192"/>
      <c r="AA5" s="193"/>
      <c r="AB5" s="184"/>
      <c r="AC5" s="185"/>
      <c r="AD5" s="185"/>
      <c r="AE5" s="186"/>
      <c r="AF5" s="315"/>
      <c r="AG5" s="315"/>
      <c r="AH5" s="191"/>
      <c r="AI5" s="192"/>
      <c r="AJ5" s="193"/>
      <c r="AK5" s="191"/>
      <c r="AL5" s="192"/>
      <c r="AM5" s="192"/>
      <c r="AN5" s="192"/>
      <c r="AO5" s="192"/>
      <c r="AP5" s="192"/>
      <c r="AQ5" s="192"/>
      <c r="AR5" s="193"/>
      <c r="AS5" s="184"/>
      <c r="AT5" s="185"/>
      <c r="AU5" s="185"/>
      <c r="AV5" s="186"/>
      <c r="AW5" s="187"/>
      <c r="AX5" s="188"/>
      <c r="AY5" s="190"/>
    </row>
    <row r="6" spans="1:51" s="177" customFormat="1" ht="12">
      <c r="A6" s="187"/>
      <c r="B6" s="188"/>
      <c r="C6" s="190"/>
      <c r="D6" s="191"/>
      <c r="E6" s="192"/>
      <c r="F6" s="192"/>
      <c r="G6" s="192"/>
      <c r="H6" s="192"/>
      <c r="I6" s="193"/>
      <c r="J6" s="184"/>
      <c r="K6" s="185"/>
      <c r="L6" s="185"/>
      <c r="M6" s="186"/>
      <c r="N6" s="191"/>
      <c r="O6" s="193"/>
      <c r="P6" s="191"/>
      <c r="Q6" s="192"/>
      <c r="R6" s="193"/>
      <c r="S6" s="191"/>
      <c r="T6" s="192"/>
      <c r="U6" s="192"/>
      <c r="V6" s="192"/>
      <c r="W6" s="192"/>
      <c r="X6" s="192"/>
      <c r="Y6" s="192"/>
      <c r="Z6" s="192"/>
      <c r="AA6" s="193"/>
      <c r="AB6" s="184"/>
      <c r="AC6" s="185"/>
      <c r="AD6" s="185"/>
      <c r="AE6" s="186"/>
      <c r="AF6" s="315"/>
      <c r="AG6" s="315"/>
      <c r="AH6" s="191"/>
      <c r="AI6" s="192"/>
      <c r="AJ6" s="193"/>
      <c r="AK6" s="191"/>
      <c r="AL6" s="192"/>
      <c r="AM6" s="192"/>
      <c r="AN6" s="192"/>
      <c r="AO6" s="192"/>
      <c r="AP6" s="192"/>
      <c r="AQ6" s="192"/>
      <c r="AR6" s="193"/>
      <c r="AS6" s="184"/>
      <c r="AT6" s="185"/>
      <c r="AU6" s="185"/>
      <c r="AV6" s="186"/>
      <c r="AW6" s="187"/>
      <c r="AX6" s="188"/>
      <c r="AY6" s="190"/>
    </row>
    <row r="7" spans="1:51" s="177" customFormat="1" ht="12">
      <c r="A7" s="187"/>
      <c r="B7" s="188"/>
      <c r="C7" s="190"/>
      <c r="D7" s="191"/>
      <c r="E7" s="192"/>
      <c r="F7" s="192"/>
      <c r="G7" s="192"/>
      <c r="H7" s="192"/>
      <c r="I7" s="193"/>
      <c r="J7" s="184"/>
      <c r="K7" s="185"/>
      <c r="L7" s="185"/>
      <c r="M7" s="186"/>
      <c r="N7" s="191"/>
      <c r="O7" s="193"/>
      <c r="P7" s="191"/>
      <c r="Q7" s="192"/>
      <c r="R7" s="193"/>
      <c r="S7" s="191"/>
      <c r="T7" s="192"/>
      <c r="U7" s="192"/>
      <c r="V7" s="192"/>
      <c r="W7" s="192"/>
      <c r="X7" s="192"/>
      <c r="Y7" s="192"/>
      <c r="Z7" s="192"/>
      <c r="AA7" s="193"/>
      <c r="AB7" s="184"/>
      <c r="AC7" s="185"/>
      <c r="AD7" s="185"/>
      <c r="AE7" s="186"/>
      <c r="AF7" s="315"/>
      <c r="AG7" s="315"/>
      <c r="AH7" s="191"/>
      <c r="AI7" s="192"/>
      <c r="AJ7" s="193"/>
      <c r="AK7" s="191"/>
      <c r="AL7" s="192"/>
      <c r="AM7" s="192"/>
      <c r="AN7" s="192"/>
      <c r="AO7" s="192"/>
      <c r="AP7" s="192"/>
      <c r="AQ7" s="192"/>
      <c r="AR7" s="193"/>
      <c r="AS7" s="184"/>
      <c r="AT7" s="185"/>
      <c r="AU7" s="185"/>
      <c r="AV7" s="186"/>
      <c r="AW7" s="187"/>
      <c r="AX7" s="188"/>
      <c r="AY7" s="190"/>
    </row>
    <row r="8" spans="1:51" s="177" customFormat="1" ht="12.75" thickBot="1">
      <c r="A8" s="203"/>
      <c r="B8" s="204"/>
      <c r="C8" s="206"/>
      <c r="D8" s="207"/>
      <c r="E8" s="208"/>
      <c r="F8" s="208"/>
      <c r="G8" s="208"/>
      <c r="H8" s="208"/>
      <c r="I8" s="209"/>
      <c r="J8" s="200"/>
      <c r="K8" s="201"/>
      <c r="L8" s="201"/>
      <c r="M8" s="202"/>
      <c r="N8" s="207"/>
      <c r="O8" s="209"/>
      <c r="P8" s="207"/>
      <c r="Q8" s="208"/>
      <c r="R8" s="209"/>
      <c r="S8" s="207"/>
      <c r="T8" s="208"/>
      <c r="U8" s="208"/>
      <c r="V8" s="208"/>
      <c r="W8" s="208"/>
      <c r="X8" s="208"/>
      <c r="Y8" s="208"/>
      <c r="Z8" s="208"/>
      <c r="AA8" s="209"/>
      <c r="AB8" s="200"/>
      <c r="AC8" s="201"/>
      <c r="AD8" s="201"/>
      <c r="AE8" s="202"/>
      <c r="AF8" s="316"/>
      <c r="AG8" s="316"/>
      <c r="AH8" s="207"/>
      <c r="AI8" s="208"/>
      <c r="AJ8" s="209"/>
      <c r="AK8" s="207"/>
      <c r="AL8" s="208"/>
      <c r="AM8" s="208"/>
      <c r="AN8" s="208"/>
      <c r="AO8" s="208"/>
      <c r="AP8" s="208"/>
      <c r="AQ8" s="208"/>
      <c r="AR8" s="209"/>
      <c r="AS8" s="200"/>
      <c r="AT8" s="201"/>
      <c r="AU8" s="201"/>
      <c r="AV8" s="202"/>
      <c r="AW8" s="203"/>
      <c r="AX8" s="204"/>
      <c r="AY8" s="206"/>
    </row>
    <row r="9" ht="15"/>
    <row r="10" spans="6:9" ht="7.5" customHeight="1">
      <c r="F10" s="3" t="s">
        <v>15</v>
      </c>
      <c r="G10" s="3"/>
      <c r="H10" s="3"/>
      <c r="I10" s="3"/>
    </row>
    <row r="11" spans="2:47" ht="15" customHeight="1">
      <c r="B11" s="211" t="s">
        <v>195</v>
      </c>
      <c r="C11" s="318" t="s">
        <v>196</v>
      </c>
      <c r="D11" s="319"/>
      <c r="E11" s="212" t="s">
        <v>197</v>
      </c>
      <c r="F11" s="212" t="s">
        <v>22</v>
      </c>
      <c r="G11" s="160" t="s">
        <v>38</v>
      </c>
      <c r="H11" s="138"/>
      <c r="I11" s="139"/>
      <c r="J11" s="320"/>
      <c r="K11" s="140" t="s">
        <v>0</v>
      </c>
      <c r="L11" s="140"/>
      <c r="M11" s="140" t="s">
        <v>126</v>
      </c>
      <c r="N11" s="140"/>
      <c r="O11" s="140" t="s">
        <v>4</v>
      </c>
      <c r="P11" s="140"/>
      <c r="Q11" s="140" t="s">
        <v>5</v>
      </c>
      <c r="R11" s="140"/>
      <c r="S11" s="143" t="s">
        <v>10</v>
      </c>
      <c r="T11" s="143" t="s">
        <v>11</v>
      </c>
      <c r="U11" s="321" t="s">
        <v>198</v>
      </c>
      <c r="V11" s="322"/>
      <c r="W11" s="323"/>
      <c r="X11" s="212" t="s">
        <v>199</v>
      </c>
      <c r="Y11" s="212"/>
      <c r="Z11" s="212"/>
      <c r="AA11" s="212" t="s">
        <v>200</v>
      </c>
      <c r="AB11" s="212"/>
      <c r="AC11" s="212"/>
      <c r="AD11" s="212" t="s">
        <v>201</v>
      </c>
      <c r="AE11" s="212"/>
      <c r="AF11" s="212"/>
      <c r="AG11" s="212" t="s">
        <v>202</v>
      </c>
      <c r="AH11" s="212"/>
      <c r="AI11" s="212"/>
      <c r="AJ11" s="212" t="s">
        <v>203</v>
      </c>
      <c r="AK11" s="212"/>
      <c r="AL11" s="212"/>
      <c r="AM11" s="212" t="s">
        <v>204</v>
      </c>
      <c r="AN11" s="212"/>
      <c r="AO11" s="212"/>
      <c r="AP11" s="212" t="s">
        <v>205</v>
      </c>
      <c r="AQ11" s="212"/>
      <c r="AR11" s="212"/>
      <c r="AS11" s="212" t="s">
        <v>206</v>
      </c>
      <c r="AT11" s="212"/>
      <c r="AU11" s="212"/>
    </row>
    <row r="12" spans="1:47" ht="57.75" customHeight="1">
      <c r="A12" s="1" t="s">
        <v>141</v>
      </c>
      <c r="B12" s="213"/>
      <c r="C12" s="324"/>
      <c r="D12" s="319" t="s">
        <v>23</v>
      </c>
      <c r="E12" s="212"/>
      <c r="F12" s="212"/>
      <c r="G12" s="5" t="s">
        <v>16</v>
      </c>
      <c r="H12" s="5" t="s">
        <v>17</v>
      </c>
      <c r="I12" s="5" t="s">
        <v>18</v>
      </c>
      <c r="J12" s="5" t="s">
        <v>21</v>
      </c>
      <c r="K12" s="4" t="s">
        <v>59</v>
      </c>
      <c r="L12" s="4" t="s">
        <v>60</v>
      </c>
      <c r="M12" s="325" t="s">
        <v>6</v>
      </c>
      <c r="N12" s="325" t="s">
        <v>7</v>
      </c>
      <c r="O12" s="4" t="s">
        <v>8</v>
      </c>
      <c r="P12" s="4" t="s">
        <v>9</v>
      </c>
      <c r="Q12" s="4" t="s">
        <v>1</v>
      </c>
      <c r="R12" s="4" t="s">
        <v>9</v>
      </c>
      <c r="S12" s="143"/>
      <c r="T12" s="143"/>
      <c r="U12" s="4" t="s">
        <v>207</v>
      </c>
      <c r="V12" s="4" t="s">
        <v>208</v>
      </c>
      <c r="W12" s="4" t="s">
        <v>209</v>
      </c>
      <c r="X12" s="4" t="s">
        <v>207</v>
      </c>
      <c r="Y12" s="4" t="s">
        <v>208</v>
      </c>
      <c r="Z12" s="4" t="s">
        <v>209</v>
      </c>
      <c r="AA12" s="4" t="s">
        <v>207</v>
      </c>
      <c r="AB12" s="4" t="s">
        <v>208</v>
      </c>
      <c r="AC12" s="4" t="s">
        <v>209</v>
      </c>
      <c r="AD12" s="4" t="s">
        <v>207</v>
      </c>
      <c r="AE12" s="4" t="s">
        <v>208</v>
      </c>
      <c r="AF12" s="4" t="s">
        <v>209</v>
      </c>
      <c r="AG12" s="4" t="s">
        <v>207</v>
      </c>
      <c r="AH12" s="4" t="s">
        <v>208</v>
      </c>
      <c r="AI12" s="4" t="s">
        <v>209</v>
      </c>
      <c r="AJ12" s="4" t="s">
        <v>207</v>
      </c>
      <c r="AK12" s="4" t="s">
        <v>208</v>
      </c>
      <c r="AL12" s="4" t="s">
        <v>209</v>
      </c>
      <c r="AM12" s="4" t="s">
        <v>207</v>
      </c>
      <c r="AN12" s="4" t="s">
        <v>208</v>
      </c>
      <c r="AO12" s="4" t="s">
        <v>209</v>
      </c>
      <c r="AP12" s="4" t="s">
        <v>207</v>
      </c>
      <c r="AQ12" s="4" t="s">
        <v>208</v>
      </c>
      <c r="AR12" s="4" t="s">
        <v>209</v>
      </c>
      <c r="AS12" s="4" t="s">
        <v>207</v>
      </c>
      <c r="AT12" s="4" t="s">
        <v>208</v>
      </c>
      <c r="AU12" s="4" t="s">
        <v>209</v>
      </c>
    </row>
    <row r="13" spans="1:47" s="7" customFormat="1" ht="60.75" customHeight="1" hidden="1" outlineLevel="2">
      <c r="A13" s="326"/>
      <c r="B13" s="327" t="s">
        <v>145</v>
      </c>
      <c r="C13" s="328">
        <v>886</v>
      </c>
      <c r="D13" s="329" t="s">
        <v>210</v>
      </c>
      <c r="E13" s="328"/>
      <c r="F13" s="329" t="s">
        <v>211</v>
      </c>
      <c r="G13" s="327"/>
      <c r="H13" s="327" t="s">
        <v>48</v>
      </c>
      <c r="I13" s="330"/>
      <c r="J13" s="327" t="s">
        <v>212</v>
      </c>
      <c r="K13" s="331">
        <v>0.25</v>
      </c>
      <c r="L13" s="332">
        <f>+K13/12*7</f>
        <v>0.14583333333333331</v>
      </c>
      <c r="M13" s="333">
        <v>400000000</v>
      </c>
      <c r="N13" s="334">
        <v>340000000</v>
      </c>
      <c r="O13" s="334">
        <v>0</v>
      </c>
      <c r="P13" s="334">
        <v>0</v>
      </c>
      <c r="Q13" s="335">
        <v>0</v>
      </c>
      <c r="R13" s="334">
        <v>0</v>
      </c>
      <c r="S13" s="336" t="s">
        <v>213</v>
      </c>
      <c r="T13" s="337"/>
      <c r="U13" s="334">
        <f aca="true" t="shared" si="0" ref="U13:V15">+N13</f>
        <v>340000000</v>
      </c>
      <c r="V13" s="334">
        <f t="shared" si="0"/>
        <v>0</v>
      </c>
      <c r="W13" s="338">
        <f>+V13/U13</f>
        <v>0</v>
      </c>
      <c r="X13" s="339"/>
      <c r="Y13" s="339"/>
      <c r="Z13" s="338"/>
      <c r="AA13" s="339"/>
      <c r="AB13" s="339"/>
      <c r="AC13" s="338"/>
      <c r="AD13" s="339"/>
      <c r="AE13" s="339"/>
      <c r="AF13" s="338"/>
      <c r="AG13" s="339"/>
      <c r="AH13" s="339"/>
      <c r="AI13" s="338"/>
      <c r="AJ13" s="339"/>
      <c r="AK13" s="339"/>
      <c r="AL13" s="338"/>
      <c r="AM13" s="339"/>
      <c r="AN13" s="339"/>
      <c r="AO13" s="338"/>
      <c r="AP13" s="339"/>
      <c r="AQ13" s="339"/>
      <c r="AR13" s="338"/>
      <c r="AS13" s="339"/>
      <c r="AT13" s="339"/>
      <c r="AU13" s="338"/>
    </row>
    <row r="14" spans="1:47" s="7" customFormat="1" ht="48" customHeight="1" hidden="1" outlineLevel="2">
      <c r="A14" s="326"/>
      <c r="B14" s="327" t="s">
        <v>145</v>
      </c>
      <c r="C14" s="328">
        <v>886</v>
      </c>
      <c r="D14" s="329" t="s">
        <v>210</v>
      </c>
      <c r="E14" s="328"/>
      <c r="F14" s="329" t="s">
        <v>214</v>
      </c>
      <c r="G14" s="327"/>
      <c r="H14" s="327" t="s">
        <v>48</v>
      </c>
      <c r="I14" s="330"/>
      <c r="J14" s="327" t="s">
        <v>215</v>
      </c>
      <c r="K14" s="331">
        <v>1</v>
      </c>
      <c r="L14" s="332">
        <f>+K14/12*7</f>
        <v>0.5833333333333333</v>
      </c>
      <c r="M14" s="340">
        <v>44962500</v>
      </c>
      <c r="N14" s="334">
        <v>55848000</v>
      </c>
      <c r="O14" s="334">
        <v>55848000</v>
      </c>
      <c r="P14" s="334">
        <f>5274533+4654000+4654000</f>
        <v>14582533</v>
      </c>
      <c r="Q14" s="335">
        <f>122122000-94799467</f>
        <v>27322533</v>
      </c>
      <c r="R14" s="334">
        <v>27322533</v>
      </c>
      <c r="S14" s="336" t="s">
        <v>216</v>
      </c>
      <c r="T14" s="341"/>
      <c r="U14" s="334">
        <f t="shared" si="0"/>
        <v>55848000</v>
      </c>
      <c r="V14" s="334">
        <f t="shared" si="0"/>
        <v>55848000</v>
      </c>
      <c r="W14" s="338">
        <f>+V14/U14</f>
        <v>1</v>
      </c>
      <c r="X14" s="339"/>
      <c r="Y14" s="339"/>
      <c r="Z14" s="338"/>
      <c r="AA14" s="339"/>
      <c r="AB14" s="339"/>
      <c r="AC14" s="338"/>
      <c r="AD14" s="339"/>
      <c r="AE14" s="339"/>
      <c r="AF14" s="338"/>
      <c r="AG14" s="339"/>
      <c r="AH14" s="339"/>
      <c r="AI14" s="338"/>
      <c r="AJ14" s="339"/>
      <c r="AK14" s="339"/>
      <c r="AL14" s="338"/>
      <c r="AM14" s="339"/>
      <c r="AN14" s="339"/>
      <c r="AO14" s="338"/>
      <c r="AP14" s="339"/>
      <c r="AQ14" s="339"/>
      <c r="AR14" s="338"/>
      <c r="AS14" s="339"/>
      <c r="AT14" s="339"/>
      <c r="AU14" s="338"/>
    </row>
    <row r="15" spans="1:47" s="7" customFormat="1" ht="63" customHeight="1" hidden="1" outlineLevel="2">
      <c r="A15" s="326"/>
      <c r="B15" s="327" t="s">
        <v>145</v>
      </c>
      <c r="C15" s="328">
        <v>886</v>
      </c>
      <c r="D15" s="329" t="s">
        <v>210</v>
      </c>
      <c r="E15" s="328"/>
      <c r="F15" s="329" t="s">
        <v>217</v>
      </c>
      <c r="G15" s="327"/>
      <c r="H15" s="327" t="s">
        <v>48</v>
      </c>
      <c r="I15" s="330"/>
      <c r="J15" s="327" t="s">
        <v>218</v>
      </c>
      <c r="K15" s="331">
        <v>1</v>
      </c>
      <c r="L15" s="332">
        <f>+K15/12*7</f>
        <v>0.5833333333333333</v>
      </c>
      <c r="M15" s="340">
        <v>79054500</v>
      </c>
      <c r="N15" s="334">
        <v>79054500</v>
      </c>
      <c r="O15" s="334">
        <v>0</v>
      </c>
      <c r="P15" s="334">
        <v>0</v>
      </c>
      <c r="Q15" s="335">
        <v>0</v>
      </c>
      <c r="R15" s="334">
        <v>0</v>
      </c>
      <c r="S15" s="336" t="s">
        <v>219</v>
      </c>
      <c r="T15" s="342"/>
      <c r="U15" s="334">
        <f t="shared" si="0"/>
        <v>79054500</v>
      </c>
      <c r="V15" s="334">
        <f t="shared" si="0"/>
        <v>0</v>
      </c>
      <c r="W15" s="338">
        <f>+V15/U15</f>
        <v>0</v>
      </c>
      <c r="X15" s="339"/>
      <c r="Y15" s="339"/>
      <c r="Z15" s="338">
        <f>IF(X15=0,"",Y15/X15)</f>
      </c>
      <c r="AA15" s="339"/>
      <c r="AB15" s="339"/>
      <c r="AC15" s="338">
        <f>IF(AA15=0,"",AB15/AA15)</f>
      </c>
      <c r="AD15" s="339"/>
      <c r="AE15" s="339"/>
      <c r="AF15" s="338">
        <f>IF(AD15=0,"",AE15/AD15)</f>
      </c>
      <c r="AG15" s="339"/>
      <c r="AH15" s="339"/>
      <c r="AI15" s="338">
        <f>IF(AG15=0,"",AH15/AG15)</f>
      </c>
      <c r="AJ15" s="339"/>
      <c r="AK15" s="339"/>
      <c r="AL15" s="338">
        <f>IF(AJ15=0,"",AK15/AJ15)</f>
      </c>
      <c r="AM15" s="339"/>
      <c r="AN15" s="339"/>
      <c r="AO15" s="338">
        <f>IF(AM15=0,"",AN15/AM15)</f>
      </c>
      <c r="AP15" s="339"/>
      <c r="AQ15" s="339"/>
      <c r="AR15" s="338">
        <f>IF(AP15=0,"",AQ15/AP15)</f>
      </c>
      <c r="AS15" s="339"/>
      <c r="AT15" s="339"/>
      <c r="AU15" s="338">
        <f>IF(AS15=0,"",AT15/AS15)</f>
      </c>
    </row>
    <row r="16" spans="1:47" s="352" customFormat="1" ht="15" hidden="1" outlineLevel="1">
      <c r="A16" s="343"/>
      <c r="B16" s="344"/>
      <c r="C16" s="345"/>
      <c r="D16" s="345">
        <v>1</v>
      </c>
      <c r="E16" s="345"/>
      <c r="F16" s="346"/>
      <c r="G16" s="346"/>
      <c r="H16" s="346"/>
      <c r="I16" s="346"/>
      <c r="J16" s="345"/>
      <c r="K16" s="345"/>
      <c r="L16" s="347"/>
      <c r="M16" s="348">
        <f aca="true" t="shared" si="1" ref="M16:R16">SUM(M13:M15)</f>
        <v>524017000</v>
      </c>
      <c r="N16" s="348">
        <f t="shared" si="1"/>
        <v>474902500</v>
      </c>
      <c r="O16" s="348">
        <f t="shared" si="1"/>
        <v>55848000</v>
      </c>
      <c r="P16" s="348">
        <f t="shared" si="1"/>
        <v>14582533</v>
      </c>
      <c r="Q16" s="348">
        <f t="shared" si="1"/>
        <v>27322533</v>
      </c>
      <c r="R16" s="348">
        <f t="shared" si="1"/>
        <v>27322533</v>
      </c>
      <c r="S16" s="349"/>
      <c r="T16" s="350"/>
      <c r="U16" s="348">
        <f>SUM(U13:U15)</f>
        <v>474902500</v>
      </c>
      <c r="V16" s="348">
        <f>SUM(V13:V15)</f>
        <v>55848000</v>
      </c>
      <c r="W16" s="348">
        <f>SUM(W13:W15)</f>
        <v>1</v>
      </c>
      <c r="X16" s="345"/>
      <c r="Y16" s="345"/>
      <c r="Z16" s="351"/>
      <c r="AA16" s="345"/>
      <c r="AB16" s="345"/>
      <c r="AC16" s="351"/>
      <c r="AD16" s="345"/>
      <c r="AE16" s="345"/>
      <c r="AF16" s="351"/>
      <c r="AG16" s="345"/>
      <c r="AH16" s="345"/>
      <c r="AI16" s="351"/>
      <c r="AJ16" s="345"/>
      <c r="AK16" s="345"/>
      <c r="AL16" s="351"/>
      <c r="AM16" s="345"/>
      <c r="AN16" s="345"/>
      <c r="AO16" s="351"/>
      <c r="AP16" s="345"/>
      <c r="AQ16" s="345"/>
      <c r="AR16" s="351"/>
      <c r="AS16" s="345"/>
      <c r="AT16" s="345"/>
      <c r="AU16" s="351"/>
    </row>
    <row r="17" spans="1:47" s="7" customFormat="1" ht="72" customHeight="1" hidden="1" outlineLevel="2">
      <c r="A17" s="326"/>
      <c r="B17" s="327" t="s">
        <v>165</v>
      </c>
      <c r="C17" s="328">
        <v>886</v>
      </c>
      <c r="D17" s="329" t="s">
        <v>167</v>
      </c>
      <c r="E17" s="328"/>
      <c r="F17" s="329" t="s">
        <v>220</v>
      </c>
      <c r="G17" s="327"/>
      <c r="H17" s="327" t="s">
        <v>48</v>
      </c>
      <c r="I17" s="330"/>
      <c r="J17" s="353" t="s">
        <v>221</v>
      </c>
      <c r="K17" s="354">
        <v>0.25</v>
      </c>
      <c r="L17" s="332">
        <v>0.13</v>
      </c>
      <c r="M17" s="355">
        <v>0</v>
      </c>
      <c r="N17" s="334">
        <v>0</v>
      </c>
      <c r="O17" s="334">
        <v>0</v>
      </c>
      <c r="P17" s="334">
        <v>0</v>
      </c>
      <c r="Q17" s="335">
        <f>205732500-124458500</f>
        <v>81274000</v>
      </c>
      <c r="R17" s="334">
        <f>44167000+31641833-4514600</f>
        <v>71294233</v>
      </c>
      <c r="S17" s="336" t="s">
        <v>222</v>
      </c>
      <c r="T17" s="356"/>
      <c r="U17" s="334">
        <f aca="true" t="shared" si="2" ref="U17:V20">+N17</f>
        <v>0</v>
      </c>
      <c r="V17" s="334">
        <f t="shared" si="2"/>
        <v>0</v>
      </c>
      <c r="W17" s="338" t="e">
        <f>+V17/U17</f>
        <v>#DIV/0!</v>
      </c>
      <c r="X17" s="339"/>
      <c r="Y17" s="339"/>
      <c r="Z17" s="338">
        <f>IF(X17=0,"",Y17/X17)</f>
      </c>
      <c r="AA17" s="339"/>
      <c r="AB17" s="339"/>
      <c r="AC17" s="338">
        <f>IF(AA17=0,"",AB17/AA17)</f>
      </c>
      <c r="AD17" s="339"/>
      <c r="AE17" s="339"/>
      <c r="AF17" s="338">
        <f>IF(AD17=0,"",AE17/AD17)</f>
      </c>
      <c r="AG17" s="339"/>
      <c r="AH17" s="339"/>
      <c r="AI17" s="338">
        <f>IF(AG17=0,"",AH17/AG17)</f>
      </c>
      <c r="AJ17" s="339"/>
      <c r="AK17" s="339"/>
      <c r="AL17" s="338">
        <f>IF(AJ17=0,"",AK17/AJ17)</f>
      </c>
      <c r="AM17" s="339"/>
      <c r="AN17" s="339"/>
      <c r="AO17" s="338">
        <f>IF(AM17=0,"",AN17/AM17)</f>
      </c>
      <c r="AP17" s="339"/>
      <c r="AQ17" s="339"/>
      <c r="AR17" s="338">
        <f>IF(AP17=0,"",AQ17/AP17)</f>
      </c>
      <c r="AS17" s="339"/>
      <c r="AT17" s="339"/>
      <c r="AU17" s="338">
        <f>IF(AS17=0,"",AT17/AS17)</f>
      </c>
    </row>
    <row r="18" spans="1:47" s="7" customFormat="1" ht="58.5" customHeight="1" hidden="1" outlineLevel="2">
      <c r="A18" s="326"/>
      <c r="B18" s="327" t="s">
        <v>165</v>
      </c>
      <c r="C18" s="328">
        <v>886</v>
      </c>
      <c r="D18" s="329" t="s">
        <v>167</v>
      </c>
      <c r="E18" s="328"/>
      <c r="F18" s="329" t="s">
        <v>223</v>
      </c>
      <c r="G18" s="327"/>
      <c r="H18" s="327" t="s">
        <v>48</v>
      </c>
      <c r="I18" s="330"/>
      <c r="J18" s="353" t="s">
        <v>224</v>
      </c>
      <c r="K18" s="354">
        <v>0.25</v>
      </c>
      <c r="L18" s="332">
        <v>0.13</v>
      </c>
      <c r="M18" s="355">
        <v>0</v>
      </c>
      <c r="N18" s="334">
        <v>0</v>
      </c>
      <c r="O18" s="334">
        <v>0</v>
      </c>
      <c r="P18" s="334">
        <v>0</v>
      </c>
      <c r="Q18" s="335">
        <v>0</v>
      </c>
      <c r="R18" s="334">
        <v>0</v>
      </c>
      <c r="S18" s="336" t="s">
        <v>225</v>
      </c>
      <c r="T18" s="357" t="s">
        <v>226</v>
      </c>
      <c r="U18" s="334">
        <f t="shared" si="2"/>
        <v>0</v>
      </c>
      <c r="V18" s="334">
        <f t="shared" si="2"/>
        <v>0</v>
      </c>
      <c r="W18" s="338" t="e">
        <f>+V18/U18</f>
        <v>#DIV/0!</v>
      </c>
      <c r="X18" s="339"/>
      <c r="Y18" s="339"/>
      <c r="Z18" s="338"/>
      <c r="AA18" s="339"/>
      <c r="AB18" s="339"/>
      <c r="AC18" s="338"/>
      <c r="AD18" s="339"/>
      <c r="AE18" s="339"/>
      <c r="AF18" s="338"/>
      <c r="AG18" s="339"/>
      <c r="AH18" s="339"/>
      <c r="AI18" s="338"/>
      <c r="AJ18" s="339"/>
      <c r="AK18" s="339"/>
      <c r="AL18" s="338"/>
      <c r="AM18" s="339"/>
      <c r="AN18" s="339"/>
      <c r="AO18" s="338"/>
      <c r="AP18" s="339"/>
      <c r="AQ18" s="339"/>
      <c r="AR18" s="338"/>
      <c r="AS18" s="339"/>
      <c r="AT18" s="339"/>
      <c r="AU18" s="338"/>
    </row>
    <row r="19" spans="1:47" s="7" customFormat="1" ht="87" customHeight="1" hidden="1" outlineLevel="2">
      <c r="A19" s="326"/>
      <c r="B19" s="327" t="s">
        <v>165</v>
      </c>
      <c r="C19" s="328">
        <v>886</v>
      </c>
      <c r="D19" s="329" t="s">
        <v>167</v>
      </c>
      <c r="E19" s="328"/>
      <c r="F19" s="329" t="s">
        <v>227</v>
      </c>
      <c r="G19" s="327"/>
      <c r="H19" s="327" t="s">
        <v>48</v>
      </c>
      <c r="I19" s="330"/>
      <c r="J19" s="353" t="s">
        <v>228</v>
      </c>
      <c r="K19" s="354">
        <v>0.25</v>
      </c>
      <c r="L19" s="332">
        <v>0.13</v>
      </c>
      <c r="M19" s="355">
        <v>0</v>
      </c>
      <c r="N19" s="334">
        <v>169534000</v>
      </c>
      <c r="O19" s="334">
        <v>0</v>
      </c>
      <c r="P19" s="334">
        <v>0</v>
      </c>
      <c r="Q19" s="335">
        <f>219646000-167070166</f>
        <v>52575834</v>
      </c>
      <c r="R19" s="334">
        <f>32155000+20420834</f>
        <v>52575834</v>
      </c>
      <c r="S19" s="336" t="s">
        <v>229</v>
      </c>
      <c r="T19" s="337"/>
      <c r="U19" s="334">
        <f t="shared" si="2"/>
        <v>169534000</v>
      </c>
      <c r="V19" s="334">
        <f t="shared" si="2"/>
        <v>0</v>
      </c>
      <c r="W19" s="338">
        <f>+V19/U19</f>
        <v>0</v>
      </c>
      <c r="X19" s="339"/>
      <c r="Y19" s="339"/>
      <c r="Z19" s="338"/>
      <c r="AA19" s="339"/>
      <c r="AB19" s="339"/>
      <c r="AC19" s="338"/>
      <c r="AD19" s="339"/>
      <c r="AE19" s="339"/>
      <c r="AF19" s="338"/>
      <c r="AG19" s="339"/>
      <c r="AH19" s="339"/>
      <c r="AI19" s="338"/>
      <c r="AJ19" s="339"/>
      <c r="AK19" s="339"/>
      <c r="AL19" s="338"/>
      <c r="AM19" s="339"/>
      <c r="AN19" s="339"/>
      <c r="AO19" s="338"/>
      <c r="AP19" s="339"/>
      <c r="AQ19" s="339"/>
      <c r="AR19" s="338"/>
      <c r="AS19" s="339"/>
      <c r="AT19" s="339"/>
      <c r="AU19" s="338"/>
    </row>
    <row r="20" spans="1:47" s="7" customFormat="1" ht="84.75" customHeight="1" hidden="1" outlineLevel="1">
      <c r="A20" s="358"/>
      <c r="B20" s="327" t="s">
        <v>165</v>
      </c>
      <c r="C20" s="328">
        <v>886</v>
      </c>
      <c r="D20" s="329" t="s">
        <v>167</v>
      </c>
      <c r="E20" s="328"/>
      <c r="F20" s="329" t="s">
        <v>230</v>
      </c>
      <c r="G20" s="327"/>
      <c r="H20" s="327" t="s">
        <v>48</v>
      </c>
      <c r="I20" s="330"/>
      <c r="J20" s="353" t="s">
        <v>231</v>
      </c>
      <c r="K20" s="354">
        <v>0.25</v>
      </c>
      <c r="L20" s="332">
        <v>0.13</v>
      </c>
      <c r="M20" s="359">
        <v>870480000</v>
      </c>
      <c r="N20" s="334">
        <f>638666000-29354000</f>
        <v>609312000</v>
      </c>
      <c r="O20" s="334">
        <v>501629120</v>
      </c>
      <c r="P20" s="334">
        <f>7571333+21633067+34860853</f>
        <v>64065253</v>
      </c>
      <c r="Q20" s="335">
        <f>132938600-105012300</f>
        <v>27926300</v>
      </c>
      <c r="R20" s="334">
        <v>25373300</v>
      </c>
      <c r="S20" s="336" t="s">
        <v>232</v>
      </c>
      <c r="T20" s="360" t="s">
        <v>233</v>
      </c>
      <c r="U20" s="334">
        <f t="shared" si="2"/>
        <v>609312000</v>
      </c>
      <c r="V20" s="334">
        <f t="shared" si="2"/>
        <v>501629120</v>
      </c>
      <c r="W20" s="338">
        <f>+V20/U20</f>
        <v>0.8232713617982249</v>
      </c>
      <c r="X20" s="339"/>
      <c r="Y20" s="339"/>
      <c r="Z20" s="338"/>
      <c r="AA20" s="339"/>
      <c r="AB20" s="339"/>
      <c r="AC20" s="338"/>
      <c r="AD20" s="339"/>
      <c r="AE20" s="339"/>
      <c r="AF20" s="338"/>
      <c r="AG20" s="339"/>
      <c r="AH20" s="339"/>
      <c r="AI20" s="338"/>
      <c r="AJ20" s="339"/>
      <c r="AK20" s="339"/>
      <c r="AL20" s="338"/>
      <c r="AM20" s="339"/>
      <c r="AN20" s="339"/>
      <c r="AO20" s="338"/>
      <c r="AP20" s="339"/>
      <c r="AQ20" s="339"/>
      <c r="AR20" s="338"/>
      <c r="AS20" s="339"/>
      <c r="AT20" s="339"/>
      <c r="AU20" s="338"/>
    </row>
    <row r="21" spans="1:47" s="352" customFormat="1" ht="15" hidden="1" outlineLevel="1">
      <c r="A21" s="343"/>
      <c r="B21" s="344"/>
      <c r="C21" s="345"/>
      <c r="D21" s="345">
        <v>2</v>
      </c>
      <c r="E21" s="345"/>
      <c r="F21" s="346"/>
      <c r="G21" s="346"/>
      <c r="H21" s="346"/>
      <c r="I21" s="346"/>
      <c r="J21" s="345"/>
      <c r="K21" s="345"/>
      <c r="L21" s="347"/>
      <c r="M21" s="348">
        <f aca="true" t="shared" si="3" ref="M21:R21">SUM(M17:M20)</f>
        <v>870480000</v>
      </c>
      <c r="N21" s="348">
        <f t="shared" si="3"/>
        <v>778846000</v>
      </c>
      <c r="O21" s="348">
        <f t="shared" si="3"/>
        <v>501629120</v>
      </c>
      <c r="P21" s="348">
        <f t="shared" si="3"/>
        <v>64065253</v>
      </c>
      <c r="Q21" s="348">
        <f t="shared" si="3"/>
        <v>161776134</v>
      </c>
      <c r="R21" s="348">
        <f t="shared" si="3"/>
        <v>149243367</v>
      </c>
      <c r="S21" s="349"/>
      <c r="T21" s="350"/>
      <c r="U21" s="348">
        <f>SUM(U17:U20)</f>
        <v>778846000</v>
      </c>
      <c r="V21" s="348">
        <f>SUM(V17:V20)</f>
        <v>501629120</v>
      </c>
      <c r="W21" s="348" t="e">
        <f>SUM(W17:W20)</f>
        <v>#DIV/0!</v>
      </c>
      <c r="X21" s="345"/>
      <c r="Y21" s="345"/>
      <c r="Z21" s="351"/>
      <c r="AA21" s="345"/>
      <c r="AB21" s="345"/>
      <c r="AC21" s="351"/>
      <c r="AD21" s="345"/>
      <c r="AE21" s="345"/>
      <c r="AF21" s="351"/>
      <c r="AG21" s="345"/>
      <c r="AH21" s="345"/>
      <c r="AI21" s="351"/>
      <c r="AJ21" s="345"/>
      <c r="AK21" s="345"/>
      <c r="AL21" s="351"/>
      <c r="AM21" s="345"/>
      <c r="AN21" s="345"/>
      <c r="AO21" s="351"/>
      <c r="AP21" s="345"/>
      <c r="AQ21" s="345"/>
      <c r="AR21" s="351"/>
      <c r="AS21" s="345"/>
      <c r="AT21" s="345"/>
      <c r="AU21" s="351"/>
    </row>
    <row r="22" spans="1:47" s="7" customFormat="1" ht="75.75" customHeight="1" hidden="1" outlineLevel="2">
      <c r="A22" s="326"/>
      <c r="B22" s="227" t="s">
        <v>168</v>
      </c>
      <c r="C22" s="328">
        <v>886</v>
      </c>
      <c r="D22" s="329" t="s">
        <v>169</v>
      </c>
      <c r="E22" s="328"/>
      <c r="F22" s="329" t="s">
        <v>234</v>
      </c>
      <c r="G22" s="327"/>
      <c r="H22" s="327" t="s">
        <v>48</v>
      </c>
      <c r="I22" s="330"/>
      <c r="J22" s="327" t="s">
        <v>235</v>
      </c>
      <c r="K22" s="331">
        <v>1</v>
      </c>
      <c r="L22" s="332">
        <f>+K22/12*7</f>
        <v>0.5833333333333333</v>
      </c>
      <c r="M22" s="333">
        <v>0</v>
      </c>
      <c r="N22" s="334">
        <v>0</v>
      </c>
      <c r="O22" s="334">
        <v>0</v>
      </c>
      <c r="P22" s="334">
        <v>0</v>
      </c>
      <c r="Q22" s="335">
        <v>0</v>
      </c>
      <c r="R22" s="334">
        <v>0</v>
      </c>
      <c r="S22" s="336" t="s">
        <v>236</v>
      </c>
      <c r="T22" s="341"/>
      <c r="U22" s="334">
        <f>+N22</f>
        <v>0</v>
      </c>
      <c r="V22" s="334">
        <f>+O22</f>
        <v>0</v>
      </c>
      <c r="W22" s="338" t="e">
        <f>+V22/U22</f>
        <v>#DIV/0!</v>
      </c>
      <c r="X22" s="339"/>
      <c r="Y22" s="339"/>
      <c r="Z22" s="338"/>
      <c r="AA22" s="339"/>
      <c r="AB22" s="339"/>
      <c r="AC22" s="338"/>
      <c r="AD22" s="339"/>
      <c r="AE22" s="339"/>
      <c r="AF22" s="338"/>
      <c r="AG22" s="339"/>
      <c r="AH22" s="339"/>
      <c r="AI22" s="338"/>
      <c r="AJ22" s="339"/>
      <c r="AK22" s="339"/>
      <c r="AL22" s="338"/>
      <c r="AM22" s="339"/>
      <c r="AN22" s="339"/>
      <c r="AO22" s="338"/>
      <c r="AP22" s="339"/>
      <c r="AQ22" s="339"/>
      <c r="AR22" s="338"/>
      <c r="AS22" s="339"/>
      <c r="AT22" s="339"/>
      <c r="AU22" s="338"/>
    </row>
    <row r="23" spans="1:47" s="7" customFormat="1" ht="102" customHeight="1" hidden="1" outlineLevel="2">
      <c r="A23" s="326"/>
      <c r="B23" s="227" t="s">
        <v>168</v>
      </c>
      <c r="C23" s="328">
        <v>886</v>
      </c>
      <c r="D23" s="329" t="s">
        <v>169</v>
      </c>
      <c r="E23" s="328"/>
      <c r="F23" s="329" t="s">
        <v>237</v>
      </c>
      <c r="G23" s="327"/>
      <c r="H23" s="327" t="s">
        <v>48</v>
      </c>
      <c r="I23" s="330"/>
      <c r="J23" s="327" t="s">
        <v>238</v>
      </c>
      <c r="K23" s="331">
        <v>1</v>
      </c>
      <c r="L23" s="332">
        <f>+K23/12*7</f>
        <v>0.5833333333333333</v>
      </c>
      <c r="M23" s="359">
        <v>2548412860</v>
      </c>
      <c r="N23" s="334">
        <v>3042983800</v>
      </c>
      <c r="O23" s="334">
        <v>2544649720</v>
      </c>
      <c r="P23" s="334">
        <f>197338605+157704300+209688102</f>
        <v>564731007</v>
      </c>
      <c r="Q23" s="335">
        <f>963832220-726858741</f>
        <v>236973479</v>
      </c>
      <c r="R23" s="334">
        <f>195795419+1665000</f>
        <v>197460419</v>
      </c>
      <c r="S23" s="336" t="s">
        <v>239</v>
      </c>
      <c r="T23" s="341"/>
      <c r="U23" s="334">
        <f>+N23</f>
        <v>3042983800</v>
      </c>
      <c r="V23" s="334">
        <f>+O23</f>
        <v>2544649720</v>
      </c>
      <c r="W23" s="338">
        <f>+V23/U23</f>
        <v>0.8362350532395211</v>
      </c>
      <c r="X23" s="339"/>
      <c r="Y23" s="339"/>
      <c r="Z23" s="338"/>
      <c r="AA23" s="339"/>
      <c r="AB23" s="339"/>
      <c r="AC23" s="338"/>
      <c r="AD23" s="339"/>
      <c r="AE23" s="339"/>
      <c r="AF23" s="338"/>
      <c r="AG23" s="339"/>
      <c r="AH23" s="339"/>
      <c r="AI23" s="338"/>
      <c r="AJ23" s="339"/>
      <c r="AK23" s="339"/>
      <c r="AL23" s="338"/>
      <c r="AM23" s="339"/>
      <c r="AN23" s="339"/>
      <c r="AO23" s="338"/>
      <c r="AP23" s="339"/>
      <c r="AQ23" s="339"/>
      <c r="AR23" s="338"/>
      <c r="AS23" s="339"/>
      <c r="AT23" s="339"/>
      <c r="AU23" s="338"/>
    </row>
    <row r="24" spans="1:47" s="352" customFormat="1" ht="15" hidden="1" outlineLevel="1">
      <c r="A24" s="343"/>
      <c r="B24" s="344"/>
      <c r="C24" s="345"/>
      <c r="D24" s="345">
        <v>3</v>
      </c>
      <c r="E24" s="345"/>
      <c r="F24" s="346"/>
      <c r="G24" s="346"/>
      <c r="H24" s="346"/>
      <c r="I24" s="346"/>
      <c r="J24" s="345"/>
      <c r="K24" s="345"/>
      <c r="L24" s="347"/>
      <c r="M24" s="348">
        <f aca="true" t="shared" si="4" ref="M24:R24">SUM(M22:M23)</f>
        <v>2548412860</v>
      </c>
      <c r="N24" s="348">
        <f t="shared" si="4"/>
        <v>3042983800</v>
      </c>
      <c r="O24" s="348">
        <f t="shared" si="4"/>
        <v>2544649720</v>
      </c>
      <c r="P24" s="348">
        <f t="shared" si="4"/>
        <v>564731007</v>
      </c>
      <c r="Q24" s="348">
        <f t="shared" si="4"/>
        <v>236973479</v>
      </c>
      <c r="R24" s="348">
        <f t="shared" si="4"/>
        <v>197460419</v>
      </c>
      <c r="S24" s="349"/>
      <c r="T24" s="350"/>
      <c r="U24" s="348">
        <f>SUM(U22:U23)</f>
        <v>3042983800</v>
      </c>
      <c r="V24" s="348">
        <f>SUM(V22:V23)</f>
        <v>2544649720</v>
      </c>
      <c r="W24" s="348" t="e">
        <f>SUM(W22:W23)</f>
        <v>#DIV/0!</v>
      </c>
      <c r="X24" s="345"/>
      <c r="Y24" s="345"/>
      <c r="Z24" s="351"/>
      <c r="AA24" s="345"/>
      <c r="AB24" s="345"/>
      <c r="AC24" s="351"/>
      <c r="AD24" s="345"/>
      <c r="AE24" s="345"/>
      <c r="AF24" s="351"/>
      <c r="AG24" s="345"/>
      <c r="AH24" s="345"/>
      <c r="AI24" s="351"/>
      <c r="AJ24" s="345"/>
      <c r="AK24" s="345"/>
      <c r="AL24" s="351"/>
      <c r="AM24" s="345"/>
      <c r="AN24" s="345"/>
      <c r="AO24" s="351"/>
      <c r="AP24" s="345"/>
      <c r="AQ24" s="345"/>
      <c r="AR24" s="351"/>
      <c r="AS24" s="345"/>
      <c r="AT24" s="345"/>
      <c r="AU24" s="351"/>
    </row>
    <row r="25" spans="1:47" s="7" customFormat="1" ht="45" customHeight="1" hidden="1" outlineLevel="1">
      <c r="A25" s="358"/>
      <c r="B25" s="327" t="s">
        <v>170</v>
      </c>
      <c r="C25" s="328">
        <v>886</v>
      </c>
      <c r="D25" s="329" t="s">
        <v>70</v>
      </c>
      <c r="E25" s="328"/>
      <c r="F25" s="329" t="s">
        <v>240</v>
      </c>
      <c r="G25" s="327"/>
      <c r="H25" s="327" t="s">
        <v>48</v>
      </c>
      <c r="I25" s="330"/>
      <c r="J25" s="327" t="s">
        <v>241</v>
      </c>
      <c r="K25" s="354">
        <v>1</v>
      </c>
      <c r="L25" s="332">
        <f>+K25/12*7</f>
        <v>0.5833333333333333</v>
      </c>
      <c r="M25" s="359">
        <v>82450000</v>
      </c>
      <c r="N25" s="334">
        <v>79152000</v>
      </c>
      <c r="O25" s="334">
        <v>79152000</v>
      </c>
      <c r="P25" s="334">
        <f>14511200+6596000+6596000</f>
        <v>27703200</v>
      </c>
      <c r="Q25" s="335">
        <f>65182500-58239300</f>
        <v>6943200</v>
      </c>
      <c r="R25" s="334">
        <f>6312000+631200</f>
        <v>6943200</v>
      </c>
      <c r="S25" s="336" t="s">
        <v>242</v>
      </c>
      <c r="T25" s="341"/>
      <c r="U25" s="334">
        <f aca="true" t="shared" si="5" ref="U25:V34">+N25</f>
        <v>79152000</v>
      </c>
      <c r="V25" s="334">
        <f t="shared" si="5"/>
        <v>79152000</v>
      </c>
      <c r="W25" s="338">
        <f aca="true" t="shared" si="6" ref="W25:W34">+V25/U25</f>
        <v>1</v>
      </c>
      <c r="X25" s="339"/>
      <c r="Y25" s="339"/>
      <c r="Z25" s="338"/>
      <c r="AA25" s="339"/>
      <c r="AB25" s="339"/>
      <c r="AC25" s="338"/>
      <c r="AD25" s="339"/>
      <c r="AE25" s="339"/>
      <c r="AF25" s="338"/>
      <c r="AG25" s="339"/>
      <c r="AH25" s="339"/>
      <c r="AI25" s="338"/>
      <c r="AJ25" s="339"/>
      <c r="AK25" s="339"/>
      <c r="AL25" s="338"/>
      <c r="AM25" s="339"/>
      <c r="AN25" s="339"/>
      <c r="AO25" s="338"/>
      <c r="AP25" s="339"/>
      <c r="AQ25" s="339"/>
      <c r="AR25" s="338"/>
      <c r="AS25" s="339"/>
      <c r="AT25" s="339"/>
      <c r="AU25" s="338"/>
    </row>
    <row r="26" spans="1:47" s="7" customFormat="1" ht="51" customHeight="1" hidden="1" outlineLevel="1">
      <c r="A26" s="358"/>
      <c r="B26" s="327" t="s">
        <v>170</v>
      </c>
      <c r="C26" s="328">
        <v>886</v>
      </c>
      <c r="D26" s="329" t="s">
        <v>70</v>
      </c>
      <c r="E26" s="328"/>
      <c r="F26" s="329" t="s">
        <v>243</v>
      </c>
      <c r="G26" s="327"/>
      <c r="H26" s="327" t="s">
        <v>48</v>
      </c>
      <c r="I26" s="330"/>
      <c r="J26" s="327" t="s">
        <v>244</v>
      </c>
      <c r="K26" s="361">
        <v>18</v>
      </c>
      <c r="L26" s="362">
        <v>18</v>
      </c>
      <c r="M26" s="359">
        <v>526830500</v>
      </c>
      <c r="N26" s="334">
        <v>506880500</v>
      </c>
      <c r="O26" s="334">
        <v>483660500</v>
      </c>
      <c r="P26" s="334">
        <f>63633267+45345400+42738000</f>
        <v>151716667</v>
      </c>
      <c r="Q26" s="335">
        <f>302002500-236731467</f>
        <v>65271033</v>
      </c>
      <c r="R26" s="334">
        <v>52380067</v>
      </c>
      <c r="S26" s="336" t="s">
        <v>245</v>
      </c>
      <c r="T26" s="341"/>
      <c r="U26" s="334">
        <f t="shared" si="5"/>
        <v>506880500</v>
      </c>
      <c r="V26" s="334">
        <f t="shared" si="5"/>
        <v>483660500</v>
      </c>
      <c r="W26" s="338">
        <f t="shared" si="6"/>
        <v>0.9541903860969203</v>
      </c>
      <c r="X26" s="339"/>
      <c r="Y26" s="339"/>
      <c r="Z26" s="338"/>
      <c r="AA26" s="339"/>
      <c r="AB26" s="339"/>
      <c r="AC26" s="338"/>
      <c r="AD26" s="339"/>
      <c r="AE26" s="339"/>
      <c r="AF26" s="338"/>
      <c r="AG26" s="339"/>
      <c r="AH26" s="339"/>
      <c r="AI26" s="338"/>
      <c r="AJ26" s="339"/>
      <c r="AK26" s="339"/>
      <c r="AL26" s="338"/>
      <c r="AM26" s="339"/>
      <c r="AN26" s="339"/>
      <c r="AO26" s="338"/>
      <c r="AP26" s="339"/>
      <c r="AQ26" s="339"/>
      <c r="AR26" s="338"/>
      <c r="AS26" s="339"/>
      <c r="AT26" s="339"/>
      <c r="AU26" s="338"/>
    </row>
    <row r="27" spans="1:47" s="7" customFormat="1" ht="61.5" customHeight="1" hidden="1" outlineLevel="1">
      <c r="A27" s="358"/>
      <c r="B27" s="327" t="s">
        <v>170</v>
      </c>
      <c r="C27" s="328">
        <v>886</v>
      </c>
      <c r="D27" s="329" t="s">
        <v>70</v>
      </c>
      <c r="E27" s="328"/>
      <c r="F27" s="329" t="s">
        <v>246</v>
      </c>
      <c r="G27" s="327"/>
      <c r="H27" s="327" t="s">
        <v>48</v>
      </c>
      <c r="I27" s="330"/>
      <c r="J27" s="327" t="s">
        <v>247</v>
      </c>
      <c r="K27" s="361">
        <v>170</v>
      </c>
      <c r="L27" s="363" t="s">
        <v>248</v>
      </c>
      <c r="M27" s="364">
        <v>169686860</v>
      </c>
      <c r="N27" s="334">
        <v>166916860</v>
      </c>
      <c r="O27" s="365">
        <v>166916860</v>
      </c>
      <c r="P27" s="365">
        <f>24102249+5540000+14273640</f>
        <v>43915889</v>
      </c>
      <c r="Q27" s="366">
        <f>49645500-42577500</f>
        <v>7068000</v>
      </c>
      <c r="R27" s="365">
        <f>5301000+1767000</f>
        <v>7068000</v>
      </c>
      <c r="S27" s="367" t="s">
        <v>249</v>
      </c>
      <c r="T27" s="341"/>
      <c r="U27" s="334">
        <f t="shared" si="5"/>
        <v>166916860</v>
      </c>
      <c r="V27" s="334">
        <f t="shared" si="5"/>
        <v>166916860</v>
      </c>
      <c r="W27" s="338">
        <f t="shared" si="6"/>
        <v>1</v>
      </c>
      <c r="X27" s="339"/>
      <c r="Y27" s="339"/>
      <c r="Z27" s="338"/>
      <c r="AA27" s="339"/>
      <c r="AB27" s="339"/>
      <c r="AC27" s="338"/>
      <c r="AD27" s="339"/>
      <c r="AE27" s="339"/>
      <c r="AF27" s="338"/>
      <c r="AG27" s="339"/>
      <c r="AH27" s="339"/>
      <c r="AI27" s="338"/>
      <c r="AJ27" s="339"/>
      <c r="AK27" s="339"/>
      <c r="AL27" s="338"/>
      <c r="AM27" s="339"/>
      <c r="AN27" s="339"/>
      <c r="AO27" s="338"/>
      <c r="AP27" s="339"/>
      <c r="AQ27" s="339"/>
      <c r="AR27" s="338"/>
      <c r="AS27" s="339"/>
      <c r="AT27" s="339"/>
      <c r="AU27" s="338"/>
    </row>
    <row r="28" spans="1:47" s="7" customFormat="1" ht="66.75" customHeight="1" hidden="1" outlineLevel="1">
      <c r="A28" s="358"/>
      <c r="B28" s="327" t="s">
        <v>170</v>
      </c>
      <c r="C28" s="328">
        <v>886</v>
      </c>
      <c r="D28" s="329" t="s">
        <v>70</v>
      </c>
      <c r="E28" s="328"/>
      <c r="F28" s="329" t="s">
        <v>250</v>
      </c>
      <c r="G28" s="327"/>
      <c r="H28" s="327" t="s">
        <v>48</v>
      </c>
      <c r="I28" s="330"/>
      <c r="J28" s="327" t="s">
        <v>251</v>
      </c>
      <c r="K28" s="354">
        <v>0.25</v>
      </c>
      <c r="L28" s="368">
        <f>+K28/12*7</f>
        <v>0.14583333333333331</v>
      </c>
      <c r="M28" s="359">
        <v>53521000</v>
      </c>
      <c r="N28" s="334">
        <v>60940000</v>
      </c>
      <c r="O28" s="334">
        <v>60940000</v>
      </c>
      <c r="P28" s="334">
        <f>5540000+5540000+5540000</f>
        <v>16620000</v>
      </c>
      <c r="Q28" s="335">
        <f>93908500-79020933</f>
        <v>14887567</v>
      </c>
      <c r="R28" s="334">
        <v>14887567</v>
      </c>
      <c r="S28" s="336" t="s">
        <v>252</v>
      </c>
      <c r="T28" s="369"/>
      <c r="U28" s="334">
        <f t="shared" si="5"/>
        <v>60940000</v>
      </c>
      <c r="V28" s="334">
        <f t="shared" si="5"/>
        <v>60940000</v>
      </c>
      <c r="W28" s="338">
        <f t="shared" si="6"/>
        <v>1</v>
      </c>
      <c r="X28" s="339"/>
      <c r="Y28" s="339"/>
      <c r="Z28" s="338"/>
      <c r="AA28" s="339"/>
      <c r="AB28" s="339"/>
      <c r="AC28" s="338"/>
      <c r="AD28" s="339"/>
      <c r="AE28" s="339"/>
      <c r="AF28" s="338"/>
      <c r="AG28" s="339"/>
      <c r="AH28" s="339"/>
      <c r="AI28" s="338"/>
      <c r="AJ28" s="339"/>
      <c r="AK28" s="339"/>
      <c r="AL28" s="338"/>
      <c r="AM28" s="339"/>
      <c r="AN28" s="339"/>
      <c r="AO28" s="338"/>
      <c r="AP28" s="339"/>
      <c r="AQ28" s="339"/>
      <c r="AR28" s="338"/>
      <c r="AS28" s="339"/>
      <c r="AT28" s="339"/>
      <c r="AU28" s="338"/>
    </row>
    <row r="29" spans="1:47" s="7" customFormat="1" ht="69" customHeight="1" hidden="1" outlineLevel="1">
      <c r="A29" s="358"/>
      <c r="B29" s="327" t="s">
        <v>170</v>
      </c>
      <c r="C29" s="328">
        <v>886</v>
      </c>
      <c r="D29" s="329" t="s">
        <v>70</v>
      </c>
      <c r="E29" s="328"/>
      <c r="F29" s="329" t="s">
        <v>253</v>
      </c>
      <c r="G29" s="327"/>
      <c r="H29" s="327" t="s">
        <v>48</v>
      </c>
      <c r="I29" s="330"/>
      <c r="J29" s="327" t="s">
        <v>254</v>
      </c>
      <c r="K29" s="354">
        <v>0.25</v>
      </c>
      <c r="L29" s="368">
        <f>+K29/12*7</f>
        <v>0.14583333333333331</v>
      </c>
      <c r="M29" s="359">
        <v>797636900</v>
      </c>
      <c r="N29" s="334">
        <v>941095400</v>
      </c>
      <c r="O29" s="334">
        <v>752255400</v>
      </c>
      <c r="P29" s="334">
        <v>154345974</v>
      </c>
      <c r="Q29" s="335">
        <f>826851973-580750983</f>
        <v>246100990</v>
      </c>
      <c r="R29" s="334">
        <f>162511080+36666667</f>
        <v>199177747</v>
      </c>
      <c r="S29" s="336" t="s">
        <v>255</v>
      </c>
      <c r="T29" s="341"/>
      <c r="U29" s="334">
        <f t="shared" si="5"/>
        <v>941095400</v>
      </c>
      <c r="V29" s="334">
        <f t="shared" si="5"/>
        <v>752255400</v>
      </c>
      <c r="W29" s="338">
        <f t="shared" si="6"/>
        <v>0.7993402156678271</v>
      </c>
      <c r="X29" s="339"/>
      <c r="Y29" s="339"/>
      <c r="Z29" s="338"/>
      <c r="AA29" s="339"/>
      <c r="AB29" s="339"/>
      <c r="AC29" s="338"/>
      <c r="AD29" s="339"/>
      <c r="AE29" s="339"/>
      <c r="AF29" s="338"/>
      <c r="AG29" s="339"/>
      <c r="AH29" s="339"/>
      <c r="AI29" s="338"/>
      <c r="AJ29" s="339"/>
      <c r="AK29" s="339"/>
      <c r="AL29" s="338"/>
      <c r="AM29" s="339"/>
      <c r="AN29" s="339"/>
      <c r="AO29" s="338"/>
      <c r="AP29" s="339"/>
      <c r="AQ29" s="339"/>
      <c r="AR29" s="338"/>
      <c r="AS29" s="339"/>
      <c r="AT29" s="339"/>
      <c r="AU29" s="338"/>
    </row>
    <row r="30" spans="1:47" s="7" customFormat="1" ht="54.75" customHeight="1" hidden="1" outlineLevel="1">
      <c r="A30" s="358"/>
      <c r="B30" s="327" t="s">
        <v>170</v>
      </c>
      <c r="C30" s="328">
        <v>886</v>
      </c>
      <c r="D30" s="329" t="s">
        <v>70</v>
      </c>
      <c r="E30" s="328"/>
      <c r="F30" s="329" t="s">
        <v>256</v>
      </c>
      <c r="G30" s="327"/>
      <c r="H30" s="327" t="s">
        <v>48</v>
      </c>
      <c r="I30" s="330"/>
      <c r="J30" s="327" t="s">
        <v>257</v>
      </c>
      <c r="K30" s="354">
        <v>0.3</v>
      </c>
      <c r="L30" s="368">
        <f>+K30/12*7</f>
        <v>0.175</v>
      </c>
      <c r="M30" s="359">
        <v>0</v>
      </c>
      <c r="N30" s="334">
        <v>0</v>
      </c>
      <c r="O30" s="334">
        <v>0</v>
      </c>
      <c r="P30" s="334">
        <v>0</v>
      </c>
      <c r="Q30" s="335">
        <f>780203260-625899252</f>
        <v>154304008</v>
      </c>
      <c r="R30" s="334">
        <f>75901000+14177900+52853001</f>
        <v>142931901</v>
      </c>
      <c r="S30" s="336" t="s">
        <v>258</v>
      </c>
      <c r="T30" s="341"/>
      <c r="U30" s="334">
        <f t="shared" si="5"/>
        <v>0</v>
      </c>
      <c r="V30" s="334">
        <f t="shared" si="5"/>
        <v>0</v>
      </c>
      <c r="W30" s="338" t="e">
        <f t="shared" si="6"/>
        <v>#DIV/0!</v>
      </c>
      <c r="X30" s="339"/>
      <c r="Y30" s="339"/>
      <c r="Z30" s="338"/>
      <c r="AA30" s="339"/>
      <c r="AB30" s="339"/>
      <c r="AC30" s="338"/>
      <c r="AD30" s="339"/>
      <c r="AE30" s="339"/>
      <c r="AF30" s="338"/>
      <c r="AG30" s="339"/>
      <c r="AH30" s="339"/>
      <c r="AI30" s="338"/>
      <c r="AJ30" s="339"/>
      <c r="AK30" s="339"/>
      <c r="AL30" s="338"/>
      <c r="AM30" s="339"/>
      <c r="AN30" s="339"/>
      <c r="AO30" s="338"/>
      <c r="AP30" s="339"/>
      <c r="AQ30" s="339"/>
      <c r="AR30" s="338"/>
      <c r="AS30" s="339"/>
      <c r="AT30" s="339"/>
      <c r="AU30" s="338"/>
    </row>
    <row r="31" spans="1:47" s="7" customFormat="1" ht="62.25" customHeight="1" hidden="1" outlineLevel="1">
      <c r="A31" s="358"/>
      <c r="B31" s="327" t="s">
        <v>170</v>
      </c>
      <c r="C31" s="328">
        <v>886</v>
      </c>
      <c r="D31" s="329" t="s">
        <v>70</v>
      </c>
      <c r="E31" s="328"/>
      <c r="F31" s="329" t="s">
        <v>259</v>
      </c>
      <c r="G31" s="327"/>
      <c r="H31" s="327" t="s">
        <v>48</v>
      </c>
      <c r="I31" s="330"/>
      <c r="J31" s="327" t="s">
        <v>260</v>
      </c>
      <c r="K31" s="370">
        <v>1</v>
      </c>
      <c r="L31" s="362">
        <v>0</v>
      </c>
      <c r="M31" s="359">
        <v>90348000</v>
      </c>
      <c r="N31" s="334">
        <v>90348000</v>
      </c>
      <c r="O31" s="334">
        <v>90348000</v>
      </c>
      <c r="P31" s="334">
        <f>16061867+7529000+7529000</f>
        <v>31119867</v>
      </c>
      <c r="Q31" s="335">
        <f>153463000-131780400</f>
        <v>21682600</v>
      </c>
      <c r="R31" s="334">
        <f>15006000+6676600</f>
        <v>21682600</v>
      </c>
      <c r="S31" s="336" t="s">
        <v>261</v>
      </c>
      <c r="T31" s="341"/>
      <c r="U31" s="334">
        <f t="shared" si="5"/>
        <v>90348000</v>
      </c>
      <c r="V31" s="334">
        <f t="shared" si="5"/>
        <v>90348000</v>
      </c>
      <c r="W31" s="338">
        <f t="shared" si="6"/>
        <v>1</v>
      </c>
      <c r="X31" s="339"/>
      <c r="Y31" s="339"/>
      <c r="Z31" s="338"/>
      <c r="AA31" s="339"/>
      <c r="AB31" s="339"/>
      <c r="AC31" s="338"/>
      <c r="AD31" s="339"/>
      <c r="AE31" s="339"/>
      <c r="AF31" s="338"/>
      <c r="AG31" s="339"/>
      <c r="AH31" s="339"/>
      <c r="AI31" s="338"/>
      <c r="AJ31" s="339"/>
      <c r="AK31" s="339"/>
      <c r="AL31" s="338"/>
      <c r="AM31" s="339"/>
      <c r="AN31" s="339"/>
      <c r="AO31" s="338"/>
      <c r="AP31" s="339"/>
      <c r="AQ31" s="339"/>
      <c r="AR31" s="338"/>
      <c r="AS31" s="339"/>
      <c r="AT31" s="339"/>
      <c r="AU31" s="338"/>
    </row>
    <row r="32" spans="1:47" s="7" customFormat="1" ht="71.25" customHeight="1" hidden="1" outlineLevel="1">
      <c r="A32" s="358"/>
      <c r="B32" s="327" t="s">
        <v>170</v>
      </c>
      <c r="C32" s="328">
        <v>886</v>
      </c>
      <c r="D32" s="329" t="s">
        <v>70</v>
      </c>
      <c r="E32" s="328"/>
      <c r="F32" s="329" t="s">
        <v>262</v>
      </c>
      <c r="G32" s="327"/>
      <c r="H32" s="327" t="s">
        <v>48</v>
      </c>
      <c r="I32" s="330"/>
      <c r="J32" s="327" t="s">
        <v>260</v>
      </c>
      <c r="K32" s="370">
        <v>1</v>
      </c>
      <c r="L32" s="362">
        <v>0</v>
      </c>
      <c r="M32" s="359">
        <v>79152000</v>
      </c>
      <c r="N32" s="334">
        <v>79152000</v>
      </c>
      <c r="O32" s="334">
        <v>79152000</v>
      </c>
      <c r="P32" s="334">
        <f>9454267+6596000+6596000</f>
        <v>22646267</v>
      </c>
      <c r="Q32" s="335">
        <f>62148000-50786400</f>
        <v>11361600</v>
      </c>
      <c r="R32" s="334">
        <f>6312000+5049600</f>
        <v>11361600</v>
      </c>
      <c r="S32" s="336" t="s">
        <v>263</v>
      </c>
      <c r="T32" s="337"/>
      <c r="U32" s="334">
        <f t="shared" si="5"/>
        <v>79152000</v>
      </c>
      <c r="V32" s="334">
        <f t="shared" si="5"/>
        <v>79152000</v>
      </c>
      <c r="W32" s="338">
        <f t="shared" si="6"/>
        <v>1</v>
      </c>
      <c r="X32" s="339"/>
      <c r="Y32" s="339"/>
      <c r="Z32" s="338"/>
      <c r="AA32" s="339"/>
      <c r="AB32" s="339"/>
      <c r="AC32" s="338"/>
      <c r="AD32" s="339"/>
      <c r="AE32" s="339"/>
      <c r="AF32" s="338"/>
      <c r="AG32" s="339"/>
      <c r="AH32" s="339"/>
      <c r="AI32" s="338"/>
      <c r="AJ32" s="339"/>
      <c r="AK32" s="339"/>
      <c r="AL32" s="338"/>
      <c r="AM32" s="339"/>
      <c r="AN32" s="339"/>
      <c r="AO32" s="338"/>
      <c r="AP32" s="339"/>
      <c r="AQ32" s="339"/>
      <c r="AR32" s="338"/>
      <c r="AS32" s="339"/>
      <c r="AT32" s="339"/>
      <c r="AU32" s="338"/>
    </row>
    <row r="33" spans="1:47" s="7" customFormat="1" ht="87.75" customHeight="1" hidden="1" outlineLevel="1">
      <c r="A33" s="358"/>
      <c r="B33" s="327" t="s">
        <v>170</v>
      </c>
      <c r="C33" s="328">
        <v>886</v>
      </c>
      <c r="D33" s="329" t="s">
        <v>70</v>
      </c>
      <c r="E33" s="328"/>
      <c r="F33" s="329" t="s">
        <v>264</v>
      </c>
      <c r="G33" s="327"/>
      <c r="H33" s="327" t="s">
        <v>48</v>
      </c>
      <c r="I33" s="330"/>
      <c r="J33" s="327" t="s">
        <v>265</v>
      </c>
      <c r="K33" s="370">
        <v>128</v>
      </c>
      <c r="L33" s="362">
        <f>54+16</f>
        <v>70</v>
      </c>
      <c r="M33" s="359">
        <v>602314750</v>
      </c>
      <c r="N33" s="334">
        <v>581832400</v>
      </c>
      <c r="O33" s="334">
        <v>522306000</v>
      </c>
      <c r="P33" s="334">
        <f>24639367+32269433+28003000</f>
        <v>84911800</v>
      </c>
      <c r="Q33" s="335">
        <f>515147000-375060334</f>
        <v>140086666</v>
      </c>
      <c r="R33" s="334">
        <f>40619500+48335433+14886067</f>
        <v>103841000</v>
      </c>
      <c r="S33" s="336" t="s">
        <v>266</v>
      </c>
      <c r="T33" s="337"/>
      <c r="U33" s="334">
        <f t="shared" si="5"/>
        <v>581832400</v>
      </c>
      <c r="V33" s="334">
        <f t="shared" si="5"/>
        <v>522306000</v>
      </c>
      <c r="W33" s="338">
        <f t="shared" si="6"/>
        <v>0.8976915001639647</v>
      </c>
      <c r="X33" s="339"/>
      <c r="Y33" s="339"/>
      <c r="Z33" s="338"/>
      <c r="AA33" s="339"/>
      <c r="AB33" s="339"/>
      <c r="AC33" s="338"/>
      <c r="AD33" s="339"/>
      <c r="AE33" s="339"/>
      <c r="AF33" s="338"/>
      <c r="AG33" s="339"/>
      <c r="AH33" s="339"/>
      <c r="AI33" s="338"/>
      <c r="AJ33" s="339"/>
      <c r="AK33" s="339"/>
      <c r="AL33" s="338"/>
      <c r="AM33" s="339"/>
      <c r="AN33" s="339"/>
      <c r="AO33" s="338"/>
      <c r="AP33" s="339"/>
      <c r="AQ33" s="339"/>
      <c r="AR33" s="338"/>
      <c r="AS33" s="339"/>
      <c r="AT33" s="339"/>
      <c r="AU33" s="338"/>
    </row>
    <row r="34" spans="1:47" s="7" customFormat="1" ht="90.75" customHeight="1" hidden="1" outlineLevel="1">
      <c r="A34" s="358"/>
      <c r="B34" s="327" t="s">
        <v>170</v>
      </c>
      <c r="C34" s="328">
        <v>886</v>
      </c>
      <c r="D34" s="329" t="s">
        <v>70</v>
      </c>
      <c r="E34" s="328"/>
      <c r="F34" s="329" t="s">
        <v>267</v>
      </c>
      <c r="G34" s="327"/>
      <c r="H34" s="327" t="s">
        <v>48</v>
      </c>
      <c r="I34" s="330"/>
      <c r="J34" s="327" t="s">
        <v>268</v>
      </c>
      <c r="K34" s="370">
        <v>12</v>
      </c>
      <c r="L34" s="362">
        <v>7</v>
      </c>
      <c r="M34" s="359">
        <v>826660130</v>
      </c>
      <c r="N34" s="371">
        <f>450814540-100000000</f>
        <v>350814540</v>
      </c>
      <c r="O34" s="371">
        <f>438868320-5379000</f>
        <v>433489320</v>
      </c>
      <c r="P34" s="372">
        <f>85106602+34140307+35734360-4654000-1000000</f>
        <v>149327269</v>
      </c>
      <c r="Q34" s="335">
        <f>216701180-163491620</f>
        <v>53209560</v>
      </c>
      <c r="R34" s="334">
        <v>53209760</v>
      </c>
      <c r="S34" s="336" t="s">
        <v>269</v>
      </c>
      <c r="T34" s="341"/>
      <c r="U34" s="334">
        <f t="shared" si="5"/>
        <v>350814540</v>
      </c>
      <c r="V34" s="334">
        <f t="shared" si="5"/>
        <v>433489320</v>
      </c>
      <c r="W34" s="338">
        <f t="shared" si="6"/>
        <v>1.2356652036144227</v>
      </c>
      <c r="X34" s="339"/>
      <c r="Y34" s="339"/>
      <c r="Z34" s="338"/>
      <c r="AA34" s="339"/>
      <c r="AB34" s="339"/>
      <c r="AC34" s="338"/>
      <c r="AD34" s="339"/>
      <c r="AE34" s="339"/>
      <c r="AF34" s="338"/>
      <c r="AG34" s="339"/>
      <c r="AH34" s="339"/>
      <c r="AI34" s="338"/>
      <c r="AJ34" s="339"/>
      <c r="AK34" s="339"/>
      <c r="AL34" s="338"/>
      <c r="AM34" s="339"/>
      <c r="AN34" s="339"/>
      <c r="AO34" s="338"/>
      <c r="AP34" s="339"/>
      <c r="AQ34" s="339"/>
      <c r="AR34" s="338"/>
      <c r="AS34" s="339"/>
      <c r="AT34" s="339"/>
      <c r="AU34" s="338"/>
    </row>
    <row r="35" spans="1:47" s="7" customFormat="1" ht="15" hidden="1" outlineLevel="1">
      <c r="A35" s="373"/>
      <c r="B35" s="374"/>
      <c r="C35" s="375"/>
      <c r="D35" s="375">
        <v>4</v>
      </c>
      <c r="E35" s="375"/>
      <c r="F35" s="376"/>
      <c r="G35" s="376"/>
      <c r="H35" s="376"/>
      <c r="I35" s="376"/>
      <c r="J35" s="375"/>
      <c r="K35" s="375"/>
      <c r="L35" s="377"/>
      <c r="M35" s="378">
        <f aca="true" t="shared" si="7" ref="M35:R35">SUM(M25:M34)</f>
        <v>3228600140</v>
      </c>
      <c r="N35" s="378">
        <f t="shared" si="7"/>
        <v>2857131700</v>
      </c>
      <c r="O35" s="378">
        <f t="shared" si="7"/>
        <v>2668220080</v>
      </c>
      <c r="P35" s="378">
        <f t="shared" si="7"/>
        <v>682306933</v>
      </c>
      <c r="Q35" s="348">
        <f t="shared" si="7"/>
        <v>720915224</v>
      </c>
      <c r="R35" s="348">
        <f t="shared" si="7"/>
        <v>613483442</v>
      </c>
      <c r="S35" s="379"/>
      <c r="T35" s="380"/>
      <c r="U35" s="348">
        <f>SUM(U25:U34)</f>
        <v>2857131700</v>
      </c>
      <c r="V35" s="348">
        <f>SUM(V25:V34)</f>
        <v>2668220080</v>
      </c>
      <c r="W35" s="348" t="e">
        <f>SUM(W25:W34)</f>
        <v>#DIV/0!</v>
      </c>
      <c r="X35" s="375"/>
      <c r="Y35" s="375"/>
      <c r="Z35" s="381"/>
      <c r="AA35" s="375"/>
      <c r="AB35" s="375"/>
      <c r="AC35" s="381"/>
      <c r="AD35" s="375"/>
      <c r="AE35" s="375"/>
      <c r="AF35" s="381"/>
      <c r="AG35" s="375"/>
      <c r="AH35" s="375"/>
      <c r="AI35" s="381"/>
      <c r="AJ35" s="375"/>
      <c r="AK35" s="375"/>
      <c r="AL35" s="381"/>
      <c r="AM35" s="375"/>
      <c r="AN35" s="375"/>
      <c r="AO35" s="381"/>
      <c r="AP35" s="375"/>
      <c r="AQ35" s="375"/>
      <c r="AR35" s="381"/>
      <c r="AS35" s="375"/>
      <c r="AT35" s="375"/>
      <c r="AU35" s="381"/>
    </row>
    <row r="36" spans="1:47" s="7" customFormat="1" ht="63.75" customHeight="1" outlineLevel="2">
      <c r="A36" s="326"/>
      <c r="B36" s="327" t="s">
        <v>172</v>
      </c>
      <c r="C36" s="328">
        <v>886</v>
      </c>
      <c r="D36" s="329" t="s">
        <v>270</v>
      </c>
      <c r="E36" s="328"/>
      <c r="F36" s="329" t="s">
        <v>271</v>
      </c>
      <c r="G36" s="327"/>
      <c r="H36" s="327" t="s">
        <v>48</v>
      </c>
      <c r="I36" s="330"/>
      <c r="J36" s="327" t="s">
        <v>272</v>
      </c>
      <c r="K36" s="382">
        <v>40</v>
      </c>
      <c r="L36" s="382">
        <v>40</v>
      </c>
      <c r="M36" s="383">
        <v>0</v>
      </c>
      <c r="N36" s="334">
        <v>0</v>
      </c>
      <c r="O36" s="334">
        <v>0</v>
      </c>
      <c r="P36" s="334">
        <v>0</v>
      </c>
      <c r="Q36" s="335">
        <f>20811500-17256300</f>
        <v>3555200</v>
      </c>
      <c r="R36" s="334">
        <f>2222000+1333200</f>
        <v>3555200</v>
      </c>
      <c r="S36" s="337"/>
      <c r="T36" s="384" t="s">
        <v>175</v>
      </c>
      <c r="U36" s="334">
        <f aca="true" t="shared" si="8" ref="U36:V38">+N36</f>
        <v>0</v>
      </c>
      <c r="V36" s="334">
        <f t="shared" si="8"/>
        <v>0</v>
      </c>
      <c r="W36" s="338" t="e">
        <f>+V36/U36</f>
        <v>#DIV/0!</v>
      </c>
      <c r="X36" s="339"/>
      <c r="Y36" s="339"/>
      <c r="Z36" s="338"/>
      <c r="AA36" s="339"/>
      <c r="AB36" s="339"/>
      <c r="AC36" s="338"/>
      <c r="AD36" s="339"/>
      <c r="AE36" s="339"/>
      <c r="AF36" s="338"/>
      <c r="AG36" s="339"/>
      <c r="AH36" s="339"/>
      <c r="AI36" s="338"/>
      <c r="AJ36" s="339"/>
      <c r="AK36" s="339"/>
      <c r="AL36" s="338"/>
      <c r="AM36" s="339"/>
      <c r="AN36" s="339"/>
      <c r="AO36" s="338"/>
      <c r="AP36" s="339"/>
      <c r="AQ36" s="339"/>
      <c r="AR36" s="338"/>
      <c r="AS36" s="339"/>
      <c r="AT36" s="339"/>
      <c r="AU36" s="338"/>
    </row>
    <row r="37" spans="1:47" s="7" customFormat="1" ht="39" customHeight="1" outlineLevel="2">
      <c r="A37" s="326"/>
      <c r="B37" s="327" t="s">
        <v>172</v>
      </c>
      <c r="C37" s="328">
        <v>886</v>
      </c>
      <c r="D37" s="329" t="s">
        <v>270</v>
      </c>
      <c r="E37" s="328"/>
      <c r="F37" s="329" t="s">
        <v>273</v>
      </c>
      <c r="G37" s="327"/>
      <c r="H37" s="327" t="s">
        <v>48</v>
      </c>
      <c r="I37" s="330"/>
      <c r="J37" s="327" t="s">
        <v>274</v>
      </c>
      <c r="K37" s="385">
        <v>1</v>
      </c>
      <c r="L37" s="385">
        <v>1</v>
      </c>
      <c r="M37" s="340">
        <v>0</v>
      </c>
      <c r="N37" s="334">
        <v>0</v>
      </c>
      <c r="O37" s="334">
        <v>0</v>
      </c>
      <c r="P37" s="334">
        <v>0</v>
      </c>
      <c r="Q37" s="335">
        <v>0</v>
      </c>
      <c r="R37" s="334">
        <v>0</v>
      </c>
      <c r="S37" s="337"/>
      <c r="T37" s="386"/>
      <c r="U37" s="334">
        <f t="shared" si="8"/>
        <v>0</v>
      </c>
      <c r="V37" s="334">
        <f t="shared" si="8"/>
        <v>0</v>
      </c>
      <c r="W37" s="338" t="e">
        <f>+V37/U37</f>
        <v>#DIV/0!</v>
      </c>
      <c r="X37" s="339"/>
      <c r="Y37" s="339"/>
      <c r="Z37" s="338"/>
      <c r="AA37" s="339"/>
      <c r="AB37" s="339"/>
      <c r="AC37" s="338"/>
      <c r="AD37" s="339"/>
      <c r="AE37" s="339"/>
      <c r="AF37" s="338"/>
      <c r="AG37" s="339"/>
      <c r="AH37" s="339"/>
      <c r="AI37" s="338"/>
      <c r="AJ37" s="339"/>
      <c r="AK37" s="339"/>
      <c r="AL37" s="338"/>
      <c r="AM37" s="339"/>
      <c r="AN37" s="339"/>
      <c r="AO37" s="338"/>
      <c r="AP37" s="339"/>
      <c r="AQ37" s="339"/>
      <c r="AR37" s="338"/>
      <c r="AS37" s="339"/>
      <c r="AT37" s="339"/>
      <c r="AU37" s="338"/>
    </row>
    <row r="38" spans="1:47" s="7" customFormat="1" ht="46.5" customHeight="1" outlineLevel="2">
      <c r="A38" s="326"/>
      <c r="B38" s="327" t="s">
        <v>172</v>
      </c>
      <c r="C38" s="328">
        <v>886</v>
      </c>
      <c r="D38" s="329" t="s">
        <v>270</v>
      </c>
      <c r="E38" s="328"/>
      <c r="F38" s="329" t="s">
        <v>275</v>
      </c>
      <c r="G38" s="327"/>
      <c r="H38" s="327" t="s">
        <v>48</v>
      </c>
      <c r="I38" s="330"/>
      <c r="J38" s="327" t="s">
        <v>276</v>
      </c>
      <c r="K38" s="385">
        <v>6</v>
      </c>
      <c r="L38" s="362">
        <v>6</v>
      </c>
      <c r="M38" s="340">
        <v>0</v>
      </c>
      <c r="N38" s="334">
        <v>0</v>
      </c>
      <c r="O38" s="334">
        <v>0</v>
      </c>
      <c r="P38" s="334">
        <v>0</v>
      </c>
      <c r="Q38" s="335">
        <v>0</v>
      </c>
      <c r="R38" s="334">
        <v>0</v>
      </c>
      <c r="S38" s="337"/>
      <c r="T38" s="387"/>
      <c r="U38" s="334">
        <f t="shared" si="8"/>
        <v>0</v>
      </c>
      <c r="V38" s="334">
        <f t="shared" si="8"/>
        <v>0</v>
      </c>
      <c r="W38" s="338" t="e">
        <f>+V38/U38</f>
        <v>#DIV/0!</v>
      </c>
      <c r="X38" s="339"/>
      <c r="Y38" s="339"/>
      <c r="Z38" s="338"/>
      <c r="AA38" s="339"/>
      <c r="AB38" s="339"/>
      <c r="AC38" s="338"/>
      <c r="AD38" s="339"/>
      <c r="AE38" s="339"/>
      <c r="AF38" s="338"/>
      <c r="AG38" s="339"/>
      <c r="AH38" s="339"/>
      <c r="AI38" s="338"/>
      <c r="AJ38" s="339"/>
      <c r="AK38" s="339"/>
      <c r="AL38" s="338"/>
      <c r="AM38" s="339"/>
      <c r="AN38" s="339"/>
      <c r="AO38" s="338"/>
      <c r="AP38" s="339"/>
      <c r="AQ38" s="339"/>
      <c r="AR38" s="338"/>
      <c r="AS38" s="339"/>
      <c r="AT38" s="339"/>
      <c r="AU38" s="338"/>
    </row>
    <row r="39" spans="1:47" s="352" customFormat="1" ht="15" hidden="1" outlineLevel="2">
      <c r="A39" s="344"/>
      <c r="B39" s="344"/>
      <c r="C39" s="345"/>
      <c r="D39" s="388">
        <v>5</v>
      </c>
      <c r="E39" s="345"/>
      <c r="F39" s="346"/>
      <c r="G39" s="346"/>
      <c r="H39" s="346"/>
      <c r="I39" s="346"/>
      <c r="J39" s="345"/>
      <c r="K39" s="389"/>
      <c r="L39" s="390"/>
      <c r="M39" s="348">
        <f aca="true" t="shared" si="9" ref="M39:R39">SUM(M36:M38)</f>
        <v>0</v>
      </c>
      <c r="N39" s="348">
        <f t="shared" si="9"/>
        <v>0</v>
      </c>
      <c r="O39" s="348">
        <f t="shared" si="9"/>
        <v>0</v>
      </c>
      <c r="P39" s="348">
        <f t="shared" si="9"/>
        <v>0</v>
      </c>
      <c r="Q39" s="348">
        <f t="shared" si="9"/>
        <v>3555200</v>
      </c>
      <c r="R39" s="348">
        <f t="shared" si="9"/>
        <v>3555200</v>
      </c>
      <c r="S39" s="391"/>
      <c r="T39" s="350"/>
      <c r="U39" s="348">
        <f>SUM(U36:U38)</f>
        <v>0</v>
      </c>
      <c r="V39" s="348">
        <f>SUM(V36:V38)</f>
        <v>0</v>
      </c>
      <c r="W39" s="348" t="e">
        <f>SUM(W36:W38)</f>
        <v>#DIV/0!</v>
      </c>
      <c r="X39" s="345"/>
      <c r="Y39" s="345"/>
      <c r="Z39" s="351"/>
      <c r="AA39" s="345"/>
      <c r="AB39" s="345"/>
      <c r="AC39" s="351"/>
      <c r="AD39" s="345"/>
      <c r="AE39" s="345"/>
      <c r="AF39" s="351"/>
      <c r="AG39" s="345"/>
      <c r="AH39" s="345"/>
      <c r="AI39" s="351"/>
      <c r="AJ39" s="345"/>
      <c r="AK39" s="345"/>
      <c r="AL39" s="351"/>
      <c r="AM39" s="345"/>
      <c r="AN39" s="345"/>
      <c r="AO39" s="351"/>
      <c r="AP39" s="345"/>
      <c r="AQ39" s="345"/>
      <c r="AR39" s="351"/>
      <c r="AS39" s="345"/>
      <c r="AT39" s="345"/>
      <c r="AU39" s="351"/>
    </row>
    <row r="40" spans="1:47" s="7" customFormat="1" ht="64.5" customHeight="1" outlineLevel="1" collapsed="1">
      <c r="A40" s="358"/>
      <c r="B40" s="327" t="s">
        <v>177</v>
      </c>
      <c r="C40" s="328">
        <v>886</v>
      </c>
      <c r="D40" s="329" t="s">
        <v>46</v>
      </c>
      <c r="E40" s="328"/>
      <c r="F40" s="329" t="s">
        <v>73</v>
      </c>
      <c r="G40" s="327"/>
      <c r="H40" s="327" t="s">
        <v>48</v>
      </c>
      <c r="I40" s="330"/>
      <c r="J40" s="392" t="s">
        <v>277</v>
      </c>
      <c r="K40" s="393">
        <v>1</v>
      </c>
      <c r="L40" s="394">
        <v>0.5559</v>
      </c>
      <c r="M40" s="359">
        <v>53521000</v>
      </c>
      <c r="N40" s="334">
        <v>53521000</v>
      </c>
      <c r="O40" s="395">
        <v>53521000</v>
      </c>
      <c r="P40" s="395">
        <f>6670733+4654000+4654000</f>
        <v>15978733</v>
      </c>
      <c r="Q40" s="335">
        <f>56240000-49956800</f>
        <v>6283200</v>
      </c>
      <c r="R40" s="334">
        <f>5712000+571200</f>
        <v>6283200</v>
      </c>
      <c r="S40" s="396" t="s">
        <v>278</v>
      </c>
      <c r="T40" s="341"/>
      <c r="U40" s="334">
        <f aca="true" t="shared" si="10" ref="U40:V42">+N40</f>
        <v>53521000</v>
      </c>
      <c r="V40" s="334">
        <f t="shared" si="10"/>
        <v>53521000</v>
      </c>
      <c r="W40" s="338">
        <f>+V40/U40</f>
        <v>1</v>
      </c>
      <c r="X40" s="339"/>
      <c r="Y40" s="339"/>
      <c r="Z40" s="338"/>
      <c r="AA40" s="339"/>
      <c r="AB40" s="339"/>
      <c r="AC40" s="338"/>
      <c r="AD40" s="339"/>
      <c r="AE40" s="339"/>
      <c r="AF40" s="338"/>
      <c r="AG40" s="339"/>
      <c r="AH40" s="339"/>
      <c r="AI40" s="338"/>
      <c r="AJ40" s="339"/>
      <c r="AK40" s="339"/>
      <c r="AL40" s="338"/>
      <c r="AM40" s="339"/>
      <c r="AN40" s="339"/>
      <c r="AO40" s="338"/>
      <c r="AP40" s="339"/>
      <c r="AQ40" s="339"/>
      <c r="AR40" s="338"/>
      <c r="AS40" s="339"/>
      <c r="AT40" s="339"/>
      <c r="AU40" s="338"/>
    </row>
    <row r="41" spans="1:47" s="7" customFormat="1" ht="59.25" customHeight="1" outlineLevel="1">
      <c r="A41" s="358"/>
      <c r="B41" s="327" t="s">
        <v>177</v>
      </c>
      <c r="C41" s="328">
        <v>886</v>
      </c>
      <c r="D41" s="329" t="s">
        <v>46</v>
      </c>
      <c r="E41" s="328"/>
      <c r="F41" s="329" t="s">
        <v>74</v>
      </c>
      <c r="G41" s="327"/>
      <c r="H41" s="327" t="s">
        <v>48</v>
      </c>
      <c r="I41" s="330"/>
      <c r="J41" s="392" t="s">
        <v>279</v>
      </c>
      <c r="K41" s="393">
        <v>1</v>
      </c>
      <c r="L41" s="394">
        <v>0.5113</v>
      </c>
      <c r="M41" s="359">
        <v>155667000</v>
      </c>
      <c r="N41" s="395">
        <v>119291000</v>
      </c>
      <c r="O41" s="395">
        <v>27864000</v>
      </c>
      <c r="P41" s="395">
        <f>6037200+2322000</f>
        <v>8359200</v>
      </c>
      <c r="Q41" s="335">
        <f>119481000-96790400</f>
        <v>22690600</v>
      </c>
      <c r="R41" s="334">
        <v>22690600</v>
      </c>
      <c r="S41" s="337" t="s">
        <v>280</v>
      </c>
      <c r="T41" s="341"/>
      <c r="U41" s="334">
        <f t="shared" si="10"/>
        <v>119291000</v>
      </c>
      <c r="V41" s="334">
        <f t="shared" si="10"/>
        <v>27864000</v>
      </c>
      <c r="W41" s="338">
        <f>+V41/U41</f>
        <v>0.23358006890712626</v>
      </c>
      <c r="X41" s="339"/>
      <c r="Y41" s="339"/>
      <c r="Z41" s="338"/>
      <c r="AA41" s="339"/>
      <c r="AB41" s="339"/>
      <c r="AC41" s="338"/>
      <c r="AD41" s="339"/>
      <c r="AE41" s="339"/>
      <c r="AF41" s="338"/>
      <c r="AG41" s="339"/>
      <c r="AH41" s="339"/>
      <c r="AI41" s="338"/>
      <c r="AJ41" s="339"/>
      <c r="AK41" s="339"/>
      <c r="AL41" s="338"/>
      <c r="AM41" s="339"/>
      <c r="AN41" s="339"/>
      <c r="AO41" s="338"/>
      <c r="AP41" s="339"/>
      <c r="AQ41" s="339"/>
      <c r="AR41" s="338"/>
      <c r="AS41" s="339"/>
      <c r="AT41" s="339"/>
      <c r="AU41" s="338"/>
    </row>
    <row r="42" spans="1:47" s="7" customFormat="1" ht="63.75" customHeight="1" outlineLevel="1">
      <c r="A42" s="358"/>
      <c r="B42" s="327" t="s">
        <v>177</v>
      </c>
      <c r="C42" s="328">
        <v>886</v>
      </c>
      <c r="D42" s="329" t="s">
        <v>46</v>
      </c>
      <c r="E42" s="328"/>
      <c r="F42" s="329" t="s">
        <v>75</v>
      </c>
      <c r="G42" s="327"/>
      <c r="H42" s="327" t="s">
        <v>48</v>
      </c>
      <c r="I42" s="330"/>
      <c r="J42" s="327" t="s">
        <v>281</v>
      </c>
      <c r="K42" s="382">
        <v>400</v>
      </c>
      <c r="L42" s="382">
        <v>314</v>
      </c>
      <c r="M42" s="359">
        <v>65659000</v>
      </c>
      <c r="N42" s="334">
        <v>72556000</v>
      </c>
      <c r="O42" s="334">
        <v>72556000</v>
      </c>
      <c r="P42" s="334">
        <f>6596000+6596000+6596000</f>
        <v>19788000</v>
      </c>
      <c r="Q42" s="335">
        <f>33892000-28155333</f>
        <v>5736667</v>
      </c>
      <c r="R42" s="334">
        <f>3442000+2294667</f>
        <v>5736667</v>
      </c>
      <c r="S42" s="397" t="s">
        <v>282</v>
      </c>
      <c r="T42" s="341"/>
      <c r="U42" s="334">
        <f t="shared" si="10"/>
        <v>72556000</v>
      </c>
      <c r="V42" s="334">
        <f t="shared" si="10"/>
        <v>72556000</v>
      </c>
      <c r="W42" s="338">
        <f>+V42/U42</f>
        <v>1</v>
      </c>
      <c r="X42" s="339"/>
      <c r="Y42" s="339"/>
      <c r="Z42" s="338"/>
      <c r="AA42" s="339"/>
      <c r="AB42" s="339"/>
      <c r="AC42" s="338"/>
      <c r="AD42" s="339"/>
      <c r="AE42" s="339"/>
      <c r="AF42" s="338"/>
      <c r="AG42" s="339"/>
      <c r="AH42" s="339"/>
      <c r="AI42" s="338"/>
      <c r="AJ42" s="339"/>
      <c r="AK42" s="339"/>
      <c r="AL42" s="338"/>
      <c r="AM42" s="339"/>
      <c r="AN42" s="339"/>
      <c r="AO42" s="338"/>
      <c r="AP42" s="339"/>
      <c r="AQ42" s="339"/>
      <c r="AR42" s="338"/>
      <c r="AS42" s="339"/>
      <c r="AT42" s="339"/>
      <c r="AU42" s="338"/>
    </row>
    <row r="43" spans="1:47" s="352" customFormat="1" ht="15" hidden="1" outlineLevel="2">
      <c r="A43" s="344"/>
      <c r="B43" s="344"/>
      <c r="C43" s="345"/>
      <c r="D43" s="388">
        <v>6</v>
      </c>
      <c r="E43" s="345"/>
      <c r="F43" s="346"/>
      <c r="G43" s="346"/>
      <c r="H43" s="346"/>
      <c r="I43" s="346"/>
      <c r="J43" s="345"/>
      <c r="K43" s="389"/>
      <c r="L43" s="398"/>
      <c r="M43" s="348">
        <f aca="true" t="shared" si="11" ref="M43:R43">SUM(M40:M42)</f>
        <v>274847000</v>
      </c>
      <c r="N43" s="348">
        <f t="shared" si="11"/>
        <v>245368000</v>
      </c>
      <c r="O43" s="348">
        <f t="shared" si="11"/>
        <v>153941000</v>
      </c>
      <c r="P43" s="348">
        <f t="shared" si="11"/>
        <v>44125933</v>
      </c>
      <c r="Q43" s="348">
        <f t="shared" si="11"/>
        <v>34710467</v>
      </c>
      <c r="R43" s="348">
        <f t="shared" si="11"/>
        <v>34710467</v>
      </c>
      <c r="S43" s="391"/>
      <c r="T43" s="350"/>
      <c r="U43" s="348">
        <f>SUM(U40:U42)</f>
        <v>245368000</v>
      </c>
      <c r="V43" s="348">
        <f>SUM(V40:V42)</f>
        <v>153941000</v>
      </c>
      <c r="W43" s="348">
        <f>SUM(W40:W42)</f>
        <v>2.233580068907126</v>
      </c>
      <c r="X43" s="345"/>
      <c r="Y43" s="345"/>
      <c r="Z43" s="351"/>
      <c r="AA43" s="345"/>
      <c r="AB43" s="345"/>
      <c r="AC43" s="351"/>
      <c r="AD43" s="345"/>
      <c r="AE43" s="345"/>
      <c r="AF43" s="351"/>
      <c r="AG43" s="345"/>
      <c r="AH43" s="345"/>
      <c r="AI43" s="351"/>
      <c r="AJ43" s="345"/>
      <c r="AK43" s="345"/>
      <c r="AL43" s="351"/>
      <c r="AM43" s="345"/>
      <c r="AN43" s="345"/>
      <c r="AO43" s="351"/>
      <c r="AP43" s="345"/>
      <c r="AQ43" s="345"/>
      <c r="AR43" s="351"/>
      <c r="AS43" s="345"/>
      <c r="AT43" s="345"/>
      <c r="AU43" s="351"/>
    </row>
    <row r="44" spans="1:47" s="7" customFormat="1" ht="54.75" customHeight="1" outlineLevel="1" collapsed="1">
      <c r="A44" s="358"/>
      <c r="B44" s="327" t="s">
        <v>185</v>
      </c>
      <c r="C44" s="328">
        <v>886</v>
      </c>
      <c r="D44" s="329" t="s">
        <v>47</v>
      </c>
      <c r="E44" s="328"/>
      <c r="F44" s="329" t="s">
        <v>79</v>
      </c>
      <c r="G44" s="327"/>
      <c r="H44" s="327" t="s">
        <v>48</v>
      </c>
      <c r="I44" s="330"/>
      <c r="J44" s="327" t="s">
        <v>91</v>
      </c>
      <c r="K44" s="399">
        <v>1</v>
      </c>
      <c r="L44" s="400">
        <v>1</v>
      </c>
      <c r="M44" s="383">
        <v>0</v>
      </c>
      <c r="N44" s="334">
        <v>0</v>
      </c>
      <c r="O44" s="334">
        <v>0</v>
      </c>
      <c r="P44" s="334">
        <v>0</v>
      </c>
      <c r="Q44" s="335">
        <f>264404900-201724500</f>
        <v>62680400</v>
      </c>
      <c r="R44" s="334">
        <v>55305500</v>
      </c>
      <c r="S44" s="337" t="s">
        <v>283</v>
      </c>
      <c r="T44" s="341"/>
      <c r="U44" s="334">
        <f aca="true" t="shared" si="12" ref="U44:V49">+N44</f>
        <v>0</v>
      </c>
      <c r="V44" s="334">
        <f t="shared" si="12"/>
        <v>0</v>
      </c>
      <c r="W44" s="338" t="e">
        <f aca="true" t="shared" si="13" ref="W44:W49">+V44/U44</f>
        <v>#DIV/0!</v>
      </c>
      <c r="X44" s="339"/>
      <c r="Y44" s="339"/>
      <c r="Z44" s="338"/>
      <c r="AA44" s="339"/>
      <c r="AB44" s="339"/>
      <c r="AC44" s="338"/>
      <c r="AD44" s="339"/>
      <c r="AE44" s="339"/>
      <c r="AF44" s="338"/>
      <c r="AG44" s="339"/>
      <c r="AH44" s="339"/>
      <c r="AI44" s="338"/>
      <c r="AJ44" s="339"/>
      <c r="AK44" s="339"/>
      <c r="AL44" s="338"/>
      <c r="AM44" s="339"/>
      <c r="AN44" s="339"/>
      <c r="AO44" s="338"/>
      <c r="AP44" s="339"/>
      <c r="AQ44" s="339"/>
      <c r="AR44" s="338"/>
      <c r="AS44" s="339"/>
      <c r="AT44" s="339"/>
      <c r="AU44" s="338"/>
    </row>
    <row r="45" spans="1:47" s="7" customFormat="1" ht="76.5" customHeight="1" outlineLevel="1">
      <c r="A45" s="358"/>
      <c r="B45" s="327" t="s">
        <v>185</v>
      </c>
      <c r="C45" s="328">
        <v>886</v>
      </c>
      <c r="D45" s="329" t="s">
        <v>47</v>
      </c>
      <c r="E45" s="328"/>
      <c r="F45" s="329" t="s">
        <v>80</v>
      </c>
      <c r="G45" s="327"/>
      <c r="H45" s="327" t="s">
        <v>48</v>
      </c>
      <c r="I45" s="330"/>
      <c r="J45" s="327" t="s">
        <v>92</v>
      </c>
      <c r="K45" s="401">
        <v>400</v>
      </c>
      <c r="L45" s="401">
        <v>314</v>
      </c>
      <c r="M45" s="359">
        <v>177854000</v>
      </c>
      <c r="N45" s="334">
        <v>231245000</v>
      </c>
      <c r="O45" s="334">
        <v>230772000</v>
      </c>
      <c r="P45" s="334">
        <f>16450600+17329433+19853000</f>
        <v>53633033</v>
      </c>
      <c r="Q45" s="335">
        <v>0</v>
      </c>
      <c r="R45" s="334">
        <v>0</v>
      </c>
      <c r="S45" s="397" t="s">
        <v>284</v>
      </c>
      <c r="T45" s="341"/>
      <c r="U45" s="334">
        <f t="shared" si="12"/>
        <v>231245000</v>
      </c>
      <c r="V45" s="334">
        <f t="shared" si="12"/>
        <v>230772000</v>
      </c>
      <c r="W45" s="338">
        <f t="shared" si="13"/>
        <v>0.9979545503686567</v>
      </c>
      <c r="X45" s="339"/>
      <c r="Y45" s="339"/>
      <c r="Z45" s="338"/>
      <c r="AA45" s="339"/>
      <c r="AB45" s="339"/>
      <c r="AC45" s="338"/>
      <c r="AD45" s="339"/>
      <c r="AE45" s="339"/>
      <c r="AF45" s="338"/>
      <c r="AG45" s="339"/>
      <c r="AH45" s="339"/>
      <c r="AI45" s="338"/>
      <c r="AJ45" s="339"/>
      <c r="AK45" s="339"/>
      <c r="AL45" s="338"/>
      <c r="AM45" s="339"/>
      <c r="AN45" s="339"/>
      <c r="AO45" s="338"/>
      <c r="AP45" s="339"/>
      <c r="AQ45" s="339"/>
      <c r="AR45" s="338"/>
      <c r="AS45" s="339"/>
      <c r="AT45" s="339"/>
      <c r="AU45" s="338"/>
    </row>
    <row r="46" spans="1:47" s="7" customFormat="1" ht="66.75" customHeight="1" outlineLevel="1">
      <c r="A46" s="358"/>
      <c r="B46" s="327" t="s">
        <v>185</v>
      </c>
      <c r="C46" s="328">
        <v>886</v>
      </c>
      <c r="D46" s="329" t="s">
        <v>47</v>
      </c>
      <c r="E46" s="328"/>
      <c r="F46" s="329" t="s">
        <v>81</v>
      </c>
      <c r="G46" s="327"/>
      <c r="H46" s="327" t="s">
        <v>48</v>
      </c>
      <c r="I46" s="330"/>
      <c r="J46" s="392" t="s">
        <v>285</v>
      </c>
      <c r="K46" s="402">
        <v>1</v>
      </c>
      <c r="L46" s="403">
        <v>0.51</v>
      </c>
      <c r="M46" s="359">
        <v>70609000</v>
      </c>
      <c r="N46" s="334">
        <v>141665000</v>
      </c>
      <c r="O46" s="334">
        <v>110590000</v>
      </c>
      <c r="P46" s="334">
        <f>1282133+7058000+7058000</f>
        <v>15398133</v>
      </c>
      <c r="Q46" s="335">
        <v>0</v>
      </c>
      <c r="R46" s="334">
        <v>0</v>
      </c>
      <c r="S46" s="397" t="s">
        <v>286</v>
      </c>
      <c r="T46" s="341"/>
      <c r="U46" s="334">
        <f t="shared" si="12"/>
        <v>141665000</v>
      </c>
      <c r="V46" s="334">
        <f t="shared" si="12"/>
        <v>110590000</v>
      </c>
      <c r="W46" s="338">
        <f t="shared" si="13"/>
        <v>0.7806444781703314</v>
      </c>
      <c r="X46" s="339"/>
      <c r="Y46" s="339"/>
      <c r="Z46" s="338"/>
      <c r="AA46" s="339"/>
      <c r="AB46" s="339"/>
      <c r="AC46" s="338"/>
      <c r="AD46" s="339"/>
      <c r="AE46" s="339"/>
      <c r="AF46" s="338"/>
      <c r="AG46" s="339"/>
      <c r="AH46" s="339"/>
      <c r="AI46" s="338"/>
      <c r="AJ46" s="339"/>
      <c r="AK46" s="339"/>
      <c r="AL46" s="338"/>
      <c r="AM46" s="339"/>
      <c r="AN46" s="339"/>
      <c r="AO46" s="338"/>
      <c r="AP46" s="339"/>
      <c r="AQ46" s="339"/>
      <c r="AR46" s="338"/>
      <c r="AS46" s="339"/>
      <c r="AT46" s="339"/>
      <c r="AU46" s="338"/>
    </row>
    <row r="47" spans="1:47" s="7" customFormat="1" ht="37.5" customHeight="1" outlineLevel="1">
      <c r="A47" s="358"/>
      <c r="B47" s="327" t="s">
        <v>185</v>
      </c>
      <c r="C47" s="328">
        <v>886</v>
      </c>
      <c r="D47" s="329" t="s">
        <v>47</v>
      </c>
      <c r="E47" s="328"/>
      <c r="F47" s="329" t="s">
        <v>82</v>
      </c>
      <c r="G47" s="327"/>
      <c r="H47" s="327" t="s">
        <v>48</v>
      </c>
      <c r="I47" s="330"/>
      <c r="J47" s="327" t="s">
        <v>94</v>
      </c>
      <c r="K47" s="402">
        <v>1</v>
      </c>
      <c r="L47" s="403">
        <v>0.562</v>
      </c>
      <c r="M47" s="359">
        <v>175000000</v>
      </c>
      <c r="N47" s="334">
        <v>100000000</v>
      </c>
      <c r="O47" s="334">
        <v>0</v>
      </c>
      <c r="P47" s="334">
        <v>0</v>
      </c>
      <c r="Q47" s="335">
        <v>0</v>
      </c>
      <c r="R47" s="334">
        <v>0</v>
      </c>
      <c r="S47" s="337" t="s">
        <v>287</v>
      </c>
      <c r="T47" s="341"/>
      <c r="U47" s="334">
        <f t="shared" si="12"/>
        <v>100000000</v>
      </c>
      <c r="V47" s="334">
        <f t="shared" si="12"/>
        <v>0</v>
      </c>
      <c r="W47" s="338">
        <f t="shared" si="13"/>
        <v>0</v>
      </c>
      <c r="X47" s="339"/>
      <c r="Y47" s="339"/>
      <c r="Z47" s="338"/>
      <c r="AA47" s="339"/>
      <c r="AB47" s="339"/>
      <c r="AC47" s="338"/>
      <c r="AD47" s="339"/>
      <c r="AE47" s="339"/>
      <c r="AF47" s="338"/>
      <c r="AG47" s="339"/>
      <c r="AH47" s="339"/>
      <c r="AI47" s="338"/>
      <c r="AJ47" s="339"/>
      <c r="AK47" s="339"/>
      <c r="AL47" s="338"/>
      <c r="AM47" s="339"/>
      <c r="AN47" s="339"/>
      <c r="AO47" s="338"/>
      <c r="AP47" s="339"/>
      <c r="AQ47" s="339"/>
      <c r="AR47" s="338"/>
      <c r="AS47" s="339"/>
      <c r="AT47" s="339"/>
      <c r="AU47" s="338"/>
    </row>
    <row r="48" spans="1:47" s="7" customFormat="1" ht="38.25" customHeight="1" outlineLevel="1">
      <c r="A48" s="358"/>
      <c r="B48" s="327" t="s">
        <v>185</v>
      </c>
      <c r="C48" s="328">
        <v>886</v>
      </c>
      <c r="D48" s="329" t="s">
        <v>47</v>
      </c>
      <c r="E48" s="328"/>
      <c r="F48" s="329" t="s">
        <v>83</v>
      </c>
      <c r="G48" s="327"/>
      <c r="H48" s="327" t="s">
        <v>48</v>
      </c>
      <c r="I48" s="330"/>
      <c r="J48" s="327" t="s">
        <v>94</v>
      </c>
      <c r="K48" s="402">
        <v>1</v>
      </c>
      <c r="L48" s="403">
        <v>0.513</v>
      </c>
      <c r="M48" s="359">
        <v>0</v>
      </c>
      <c r="N48" s="334">
        <v>0</v>
      </c>
      <c r="O48" s="334">
        <v>0</v>
      </c>
      <c r="P48" s="334">
        <v>0</v>
      </c>
      <c r="Q48" s="335">
        <v>0</v>
      </c>
      <c r="R48" s="334">
        <v>0</v>
      </c>
      <c r="S48" s="337" t="s">
        <v>288</v>
      </c>
      <c r="T48" s="404"/>
      <c r="U48" s="334">
        <f t="shared" si="12"/>
        <v>0</v>
      </c>
      <c r="V48" s="334">
        <f t="shared" si="12"/>
        <v>0</v>
      </c>
      <c r="W48" s="338" t="e">
        <f t="shared" si="13"/>
        <v>#DIV/0!</v>
      </c>
      <c r="X48" s="339"/>
      <c r="Y48" s="339"/>
      <c r="Z48" s="338"/>
      <c r="AA48" s="339"/>
      <c r="AB48" s="339"/>
      <c r="AC48" s="338"/>
      <c r="AD48" s="339"/>
      <c r="AE48" s="339"/>
      <c r="AF48" s="338"/>
      <c r="AG48" s="339"/>
      <c r="AH48" s="339"/>
      <c r="AI48" s="338"/>
      <c r="AJ48" s="339"/>
      <c r="AK48" s="339"/>
      <c r="AL48" s="338"/>
      <c r="AM48" s="339"/>
      <c r="AN48" s="339"/>
      <c r="AO48" s="338"/>
      <c r="AP48" s="339"/>
      <c r="AQ48" s="339"/>
      <c r="AR48" s="338"/>
      <c r="AS48" s="339"/>
      <c r="AT48" s="339"/>
      <c r="AU48" s="338"/>
    </row>
    <row r="49" spans="1:47" s="7" customFormat="1" ht="36" customHeight="1" outlineLevel="1">
      <c r="A49" s="358"/>
      <c r="B49" s="327" t="s">
        <v>185</v>
      </c>
      <c r="C49" s="328">
        <v>886</v>
      </c>
      <c r="D49" s="329" t="s">
        <v>47</v>
      </c>
      <c r="E49" s="328"/>
      <c r="F49" s="329" t="s">
        <v>84</v>
      </c>
      <c r="G49" s="327"/>
      <c r="H49" s="327" t="s">
        <v>48</v>
      </c>
      <c r="I49" s="330"/>
      <c r="J49" s="327" t="s">
        <v>94</v>
      </c>
      <c r="K49" s="402">
        <v>1</v>
      </c>
      <c r="L49" s="403">
        <v>1</v>
      </c>
      <c r="M49" s="334">
        <v>25000000</v>
      </c>
      <c r="N49" s="334">
        <v>22678000</v>
      </c>
      <c r="O49" s="334">
        <v>0</v>
      </c>
      <c r="P49" s="334">
        <v>0</v>
      </c>
      <c r="Q49" s="335">
        <v>0</v>
      </c>
      <c r="R49" s="334">
        <v>0</v>
      </c>
      <c r="S49" s="397" t="s">
        <v>289</v>
      </c>
      <c r="T49" s="341"/>
      <c r="U49" s="334">
        <f t="shared" si="12"/>
        <v>22678000</v>
      </c>
      <c r="V49" s="334">
        <f t="shared" si="12"/>
        <v>0</v>
      </c>
      <c r="W49" s="338">
        <f t="shared" si="13"/>
        <v>0</v>
      </c>
      <c r="X49" s="339"/>
      <c r="Y49" s="339"/>
      <c r="Z49" s="338"/>
      <c r="AA49" s="339"/>
      <c r="AB49" s="339"/>
      <c r="AC49" s="338"/>
      <c r="AD49" s="339"/>
      <c r="AE49" s="339"/>
      <c r="AF49" s="338"/>
      <c r="AG49" s="339"/>
      <c r="AH49" s="339"/>
      <c r="AI49" s="338"/>
      <c r="AJ49" s="339"/>
      <c r="AK49" s="339"/>
      <c r="AL49" s="338"/>
      <c r="AM49" s="339"/>
      <c r="AN49" s="339"/>
      <c r="AO49" s="338"/>
      <c r="AP49" s="339"/>
      <c r="AQ49" s="339"/>
      <c r="AR49" s="338"/>
      <c r="AS49" s="339"/>
      <c r="AT49" s="339"/>
      <c r="AU49" s="338"/>
    </row>
    <row r="50" spans="1:47" s="352" customFormat="1" ht="15" hidden="1" outlineLevel="2">
      <c r="A50" s="344"/>
      <c r="B50" s="344"/>
      <c r="C50" s="345"/>
      <c r="D50" s="345">
        <v>7</v>
      </c>
      <c r="E50" s="345"/>
      <c r="F50" s="346"/>
      <c r="G50" s="346"/>
      <c r="H50" s="346"/>
      <c r="I50" s="346"/>
      <c r="J50" s="345"/>
      <c r="K50" s="405"/>
      <c r="L50" s="398"/>
      <c r="M50" s="348">
        <f aca="true" t="shared" si="14" ref="M50:R50">SUM(M44:M49)</f>
        <v>448463000</v>
      </c>
      <c r="N50" s="348">
        <f t="shared" si="14"/>
        <v>495588000</v>
      </c>
      <c r="O50" s="348">
        <f t="shared" si="14"/>
        <v>341362000</v>
      </c>
      <c r="P50" s="348">
        <f t="shared" si="14"/>
        <v>69031166</v>
      </c>
      <c r="Q50" s="348">
        <f t="shared" si="14"/>
        <v>62680400</v>
      </c>
      <c r="R50" s="348">
        <f t="shared" si="14"/>
        <v>55305500</v>
      </c>
      <c r="S50" s="391"/>
      <c r="T50" s="350"/>
      <c r="U50" s="348">
        <f>SUM(U44:U49)</f>
        <v>495588000</v>
      </c>
      <c r="V50" s="348">
        <f>SUM(V44:V49)</f>
        <v>341362000</v>
      </c>
      <c r="W50" s="348" t="e">
        <f>SUM(W44:W49)</f>
        <v>#DIV/0!</v>
      </c>
      <c r="X50" s="345"/>
      <c r="Y50" s="345"/>
      <c r="Z50" s="351"/>
      <c r="AA50" s="345"/>
      <c r="AB50" s="345"/>
      <c r="AC50" s="351"/>
      <c r="AD50" s="345"/>
      <c r="AE50" s="345"/>
      <c r="AF50" s="351"/>
      <c r="AG50" s="345"/>
      <c r="AH50" s="345"/>
      <c r="AI50" s="351"/>
      <c r="AJ50" s="345"/>
      <c r="AK50" s="345"/>
      <c r="AL50" s="351"/>
      <c r="AM50" s="345"/>
      <c r="AN50" s="345"/>
      <c r="AO50" s="351"/>
      <c r="AP50" s="345"/>
      <c r="AQ50" s="345"/>
      <c r="AR50" s="351"/>
      <c r="AS50" s="345"/>
      <c r="AT50" s="345"/>
      <c r="AU50" s="351"/>
    </row>
    <row r="51" spans="1:47" s="413" customFormat="1" ht="15" hidden="1">
      <c r="A51" s="406" t="s">
        <v>290</v>
      </c>
      <c r="B51" s="406"/>
      <c r="C51" s="407"/>
      <c r="D51" s="407"/>
      <c r="E51" s="407"/>
      <c r="F51" s="408"/>
      <c r="G51" s="408"/>
      <c r="H51" s="408"/>
      <c r="I51" s="408"/>
      <c r="J51" s="407"/>
      <c r="K51" s="409"/>
      <c r="L51" s="410"/>
      <c r="M51" s="411">
        <f aca="true" t="shared" si="15" ref="M51:R51">+M16+M21+M24+M35+M39+M43+M50</f>
        <v>7894820000</v>
      </c>
      <c r="N51" s="411">
        <f t="shared" si="15"/>
        <v>7894820000</v>
      </c>
      <c r="O51" s="411">
        <f t="shared" si="15"/>
        <v>6265649920</v>
      </c>
      <c r="P51" s="411">
        <f t="shared" si="15"/>
        <v>1438842825</v>
      </c>
      <c r="Q51" s="411">
        <f t="shared" si="15"/>
        <v>1247933437</v>
      </c>
      <c r="R51" s="411">
        <f t="shared" si="15"/>
        <v>1081080928</v>
      </c>
      <c r="S51" s="411">
        <f>SUBTOTAL(9,S15:S50)</f>
        <v>0</v>
      </c>
      <c r="T51" s="411">
        <f>SUBTOTAL(9,T15:T50)</f>
        <v>0</v>
      </c>
      <c r="U51" s="411">
        <f>+U16+U21+U24+U35+U39+U43+U50</f>
        <v>7894820000</v>
      </c>
      <c r="V51" s="411">
        <f>+V16+V21+V24+V35+V39+V43+V50</f>
        <v>6265649920</v>
      </c>
      <c r="W51" s="412"/>
      <c r="X51" s="411">
        <f>SUBTOTAL(9,X15:X50)</f>
        <v>0</v>
      </c>
      <c r="Y51" s="411">
        <f>SUBTOTAL(9,Y15:Y50)</f>
        <v>0</v>
      </c>
      <c r="Z51" s="411"/>
      <c r="AA51" s="411">
        <f>SUBTOTAL(9,AA15:AA50)</f>
        <v>0</v>
      </c>
      <c r="AB51" s="411">
        <f>SUBTOTAL(9,AB15:AB50)</f>
        <v>0</v>
      </c>
      <c r="AC51" s="411"/>
      <c r="AD51" s="411">
        <f>SUBTOTAL(9,AD15:AD50)</f>
        <v>0</v>
      </c>
      <c r="AE51" s="411">
        <f>SUBTOTAL(9,AE15:AE50)</f>
        <v>0</v>
      </c>
      <c r="AF51" s="411"/>
      <c r="AG51" s="411">
        <f>SUBTOTAL(9,AG15:AG50)</f>
        <v>0</v>
      </c>
      <c r="AH51" s="411">
        <f>SUBTOTAL(9,AH15:AH50)</f>
        <v>0</v>
      </c>
      <c r="AI51" s="411"/>
      <c r="AJ51" s="411">
        <f>SUBTOTAL(9,AJ15:AJ50)</f>
        <v>0</v>
      </c>
      <c r="AK51" s="411">
        <f>SUBTOTAL(9,AK15:AK50)</f>
        <v>0</v>
      </c>
      <c r="AL51" s="411"/>
      <c r="AM51" s="411">
        <f>SUBTOTAL(9,AM15:AM50)</f>
        <v>0</v>
      </c>
      <c r="AN51" s="411">
        <f>SUBTOTAL(9,AN15:AN50)</f>
        <v>0</v>
      </c>
      <c r="AO51" s="411"/>
      <c r="AP51" s="411">
        <f>SUBTOTAL(9,AP15:AP50)</f>
        <v>0</v>
      </c>
      <c r="AQ51" s="411">
        <f>SUBTOTAL(9,AQ15:AQ50)</f>
        <v>0</v>
      </c>
      <c r="AR51" s="411"/>
      <c r="AS51" s="411">
        <f>SUBTOTAL(9,AS15:AS50)</f>
        <v>0</v>
      </c>
      <c r="AT51" s="411">
        <f>SUBTOTAL(9,AT15:AT50)</f>
        <v>0</v>
      </c>
      <c r="AU51" s="411"/>
    </row>
    <row r="52" spans="13:22" ht="15" hidden="1">
      <c r="M52" s="312"/>
      <c r="N52" s="312">
        <f>+N51-M51</f>
        <v>0</v>
      </c>
      <c r="O52" s="312">
        <v>6265649920</v>
      </c>
      <c r="P52" s="312">
        <v>1438842825</v>
      </c>
      <c r="Q52" s="312"/>
      <c r="R52" s="312">
        <v>1081080928</v>
      </c>
      <c r="U52" s="414">
        <f>+N52</f>
        <v>0</v>
      </c>
      <c r="V52" s="414">
        <f>+O52</f>
        <v>6265649920</v>
      </c>
    </row>
    <row r="53" spans="13:22" ht="15" hidden="1">
      <c r="M53" s="312"/>
      <c r="N53" s="312"/>
      <c r="O53" s="415">
        <f>+O52-O51</f>
        <v>0</v>
      </c>
      <c r="P53" s="415">
        <f>+P52-P51</f>
        <v>0</v>
      </c>
      <c r="Q53" s="312"/>
      <c r="R53" s="312">
        <f>+R52-R51</f>
        <v>0</v>
      </c>
      <c r="U53" s="414">
        <f>+U51-U52</f>
        <v>7894820000</v>
      </c>
      <c r="V53" s="416">
        <f>+V51-V52</f>
        <v>0</v>
      </c>
    </row>
    <row r="54" spans="14:22" ht="15">
      <c r="N54" s="417"/>
      <c r="R54" s="414"/>
      <c r="U54" s="414"/>
      <c r="V54" s="414"/>
    </row>
    <row r="55" spans="14:18" ht="15">
      <c r="N55" s="418"/>
      <c r="R55" s="419"/>
    </row>
    <row r="56" ht="15"/>
    <row r="57" ht="15"/>
    <row r="58" ht="15">
      <c r="N58" s="418"/>
    </row>
    <row r="59" ht="15">
      <c r="N59" s="418"/>
    </row>
    <row r="60" ht="15">
      <c r="N60" s="418"/>
    </row>
    <row r="61" ht="15">
      <c r="N61" s="418"/>
    </row>
    <row r="62" ht="15">
      <c r="N62" s="418"/>
    </row>
    <row r="63" ht="15">
      <c r="N63" s="418"/>
    </row>
    <row r="71" ht="15"/>
    <row r="72" ht="15"/>
    <row r="73" ht="15"/>
    <row r="87" ht="15"/>
    <row r="88" ht="15"/>
    <row r="89" ht="15"/>
    <row r="90" ht="15"/>
    <row r="91" ht="15"/>
    <row r="114" ht="15"/>
    <row r="115" ht="15"/>
    <row r="116" ht="15"/>
    <row r="117" ht="15"/>
    <row r="118" ht="15"/>
    <row r="129" ht="15"/>
    <row r="130" ht="15"/>
    <row r="131" ht="15"/>
    <row r="132" ht="15"/>
    <row r="146" ht="15"/>
    <row r="147" ht="15"/>
    <row r="148" ht="15"/>
    <row r="149" ht="15"/>
    <row r="150" ht="15"/>
    <row r="151" ht="15"/>
    <row r="159" ht="15"/>
    <row r="160" ht="15"/>
    <row r="161" ht="15"/>
    <row r="162" ht="15"/>
    <row r="163" ht="15"/>
    <row r="175" ht="15"/>
    <row r="176" ht="15"/>
    <row r="177" ht="15"/>
    <row r="182" ht="15"/>
    <row r="183" ht="15"/>
    <row r="184" ht="15"/>
    <row r="196" ht="15"/>
    <row r="197" ht="15"/>
    <row r="198" ht="15"/>
    <row r="199" ht="15"/>
    <row r="207" ht="15"/>
    <row r="208" ht="15"/>
    <row r="209" ht="15"/>
    <row r="228" ht="15"/>
    <row r="229" ht="15"/>
    <row r="230" ht="15"/>
    <row r="231" ht="15"/>
    <row r="232" ht="15"/>
    <row r="239" ht="15"/>
    <row r="240" ht="15"/>
    <row r="241" ht="15"/>
    <row r="242" ht="15"/>
    <row r="255" ht="15"/>
    <row r="256" ht="15"/>
    <row r="257" ht="15"/>
    <row r="258" ht="15"/>
    <row r="268" ht="15"/>
    <row r="269" ht="15"/>
    <row r="270" ht="15"/>
    <row r="271" ht="15"/>
    <row r="272" ht="15"/>
    <row r="288" ht="15"/>
    <row r="289" ht="15"/>
    <row r="290" ht="15"/>
    <row r="291" ht="15"/>
    <row r="292" ht="15"/>
    <row r="297" ht="15"/>
    <row r="298" ht="15"/>
    <row r="299" ht="15"/>
    <row r="315" ht="15"/>
    <row r="316" ht="15"/>
    <row r="317" ht="15"/>
    <row r="320" ht="15"/>
    <row r="321" ht="15"/>
    <row r="325" ht="15"/>
    <row r="326" ht="15"/>
    <row r="327" ht="15"/>
    <row r="331" ht="15"/>
    <row r="332" ht="15"/>
    <row r="337" ht="15"/>
    <row r="338" ht="15"/>
    <row r="339" ht="15"/>
    <row r="345" ht="15"/>
    <row r="346" ht="15"/>
    <row r="347" ht="15"/>
    <row r="354" ht="15"/>
    <row r="355" ht="15"/>
    <row r="356" ht="15"/>
    <row r="362" ht="15"/>
    <row r="363" ht="15"/>
    <row r="364" ht="15"/>
    <row r="377" ht="15"/>
    <row r="378" ht="15"/>
    <row r="379" ht="15"/>
    <row r="389" ht="15"/>
    <row r="390" ht="15"/>
    <row r="391" ht="15"/>
  </sheetData>
  <sheetProtection/>
  <mergeCells count="32">
    <mergeCell ref="AM11:AO11"/>
    <mergeCell ref="AP11:AR11"/>
    <mergeCell ref="AS11:AU11"/>
    <mergeCell ref="T36:T38"/>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00B050"/>
  </sheetPr>
  <dimension ref="A1:BK11"/>
  <sheetViews>
    <sheetView showGridLines="0" zoomScale="70" zoomScaleNormal="70" zoomScalePageLayoutView="0" workbookViewId="0" topLeftCell="N1">
      <selection activeCell="U5" sqref="U5:V5"/>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60"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45" t="s">
        <v>72</v>
      </c>
      <c r="B2" s="145"/>
      <c r="C2" s="145"/>
      <c r="D2" s="145"/>
      <c r="E2" s="145"/>
      <c r="F2" s="145"/>
      <c r="G2" s="145"/>
      <c r="H2" s="145"/>
      <c r="I2" s="145"/>
      <c r="J2" s="145"/>
      <c r="K2" s="145"/>
      <c r="L2" s="79"/>
      <c r="M2" s="71"/>
      <c r="N2" s="147" t="s">
        <v>35</v>
      </c>
      <c r="O2" s="147"/>
      <c r="P2" s="147"/>
      <c r="Q2" s="147"/>
      <c r="R2" s="147"/>
      <c r="S2" s="147"/>
      <c r="T2" s="147"/>
      <c r="U2" s="147"/>
      <c r="V2" s="147"/>
      <c r="W2" s="147"/>
      <c r="X2" s="147"/>
      <c r="Y2" s="147"/>
      <c r="Z2" s="147"/>
    </row>
    <row r="3" spans="15:16" ht="15">
      <c r="O3" s="14"/>
      <c r="P3" s="13"/>
    </row>
    <row r="4" spans="15:16" ht="15">
      <c r="O4" s="14"/>
      <c r="P4" s="13"/>
    </row>
    <row r="5" spans="1:42" ht="80.25" customHeight="1">
      <c r="A5" s="150" t="s">
        <v>25</v>
      </c>
      <c r="B5" s="152" t="s">
        <v>34</v>
      </c>
      <c r="C5" s="153"/>
      <c r="D5" s="132" t="s">
        <v>33</v>
      </c>
      <c r="E5" s="133"/>
      <c r="F5" s="146" t="s">
        <v>26</v>
      </c>
      <c r="G5" s="133"/>
      <c r="H5" s="146" t="s">
        <v>32</v>
      </c>
      <c r="I5" s="133"/>
      <c r="J5" s="146" t="s">
        <v>27</v>
      </c>
      <c r="K5" s="133"/>
      <c r="L5" s="146" t="s">
        <v>39</v>
      </c>
      <c r="M5" s="133"/>
      <c r="N5" s="148" t="s">
        <v>23</v>
      </c>
      <c r="O5" s="149"/>
      <c r="P5" s="138" t="s">
        <v>19</v>
      </c>
      <c r="Q5" s="138"/>
      <c r="R5" s="139"/>
      <c r="S5" s="141" t="s">
        <v>20</v>
      </c>
      <c r="T5" s="141" t="s">
        <v>21</v>
      </c>
      <c r="U5" s="136" t="s">
        <v>0</v>
      </c>
      <c r="V5" s="137"/>
      <c r="W5" s="140" t="s">
        <v>36</v>
      </c>
      <c r="X5" s="140"/>
      <c r="Y5" s="140" t="s">
        <v>37</v>
      </c>
      <c r="Z5" s="140"/>
      <c r="AA5" s="140" t="s">
        <v>5</v>
      </c>
      <c r="AB5" s="140"/>
      <c r="AC5" s="143" t="s">
        <v>12</v>
      </c>
      <c r="AD5" s="143" t="s">
        <v>13</v>
      </c>
      <c r="AE5" s="143" t="s">
        <v>14</v>
      </c>
      <c r="AF5" s="143" t="s">
        <v>24</v>
      </c>
      <c r="AG5" s="143" t="s">
        <v>11</v>
      </c>
      <c r="AK5" s="154" t="s">
        <v>3</v>
      </c>
      <c r="AL5" s="154"/>
      <c r="AM5" s="154" t="s">
        <v>4</v>
      </c>
      <c r="AN5" s="154"/>
      <c r="AO5" s="154" t="s">
        <v>5</v>
      </c>
      <c r="AP5" s="154"/>
    </row>
    <row r="6" spans="1:42" ht="30.75" customHeight="1">
      <c r="A6" s="151"/>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61" t="s">
        <v>17</v>
      </c>
      <c r="R6" s="24" t="s">
        <v>18</v>
      </c>
      <c r="S6" s="142"/>
      <c r="T6" s="142"/>
      <c r="U6" s="38" t="s">
        <v>1</v>
      </c>
      <c r="V6" s="38" t="s">
        <v>2</v>
      </c>
      <c r="W6" s="38" t="s">
        <v>6</v>
      </c>
      <c r="X6" s="38" t="s">
        <v>7</v>
      </c>
      <c r="Y6" s="38" t="s">
        <v>8</v>
      </c>
      <c r="Z6" s="38" t="s">
        <v>9</v>
      </c>
      <c r="AA6" s="38" t="s">
        <v>1</v>
      </c>
      <c r="AB6" s="38" t="s">
        <v>9</v>
      </c>
      <c r="AC6" s="144"/>
      <c r="AD6" s="144"/>
      <c r="AE6" s="144"/>
      <c r="AF6" s="144"/>
      <c r="AG6" s="144"/>
      <c r="AK6" s="2" t="s">
        <v>6</v>
      </c>
      <c r="AL6" s="2" t="s">
        <v>7</v>
      </c>
      <c r="AM6" s="2" t="s">
        <v>8</v>
      </c>
      <c r="AN6" s="2" t="s">
        <v>9</v>
      </c>
      <c r="AO6" s="2" t="s">
        <v>1</v>
      </c>
      <c r="AP6" s="2" t="s">
        <v>9</v>
      </c>
    </row>
    <row r="7" spans="1:45" s="67" customFormat="1" ht="176.25" customHeight="1" hidden="1">
      <c r="A7" s="89"/>
      <c r="B7" s="90" t="s">
        <v>61</v>
      </c>
      <c r="C7" s="82" t="s">
        <v>62</v>
      </c>
      <c r="D7" s="83">
        <v>8</v>
      </c>
      <c r="E7" s="82" t="s">
        <v>40</v>
      </c>
      <c r="F7" s="83">
        <v>8</v>
      </c>
      <c r="G7" s="82" t="s">
        <v>63</v>
      </c>
      <c r="H7" s="84">
        <v>3</v>
      </c>
      <c r="I7" s="82" t="s">
        <v>43</v>
      </c>
      <c r="J7" s="83">
        <v>886</v>
      </c>
      <c r="K7" s="82" t="s">
        <v>57</v>
      </c>
      <c r="L7" s="83">
        <v>7</v>
      </c>
      <c r="M7" s="82" t="s">
        <v>64</v>
      </c>
      <c r="N7" s="83">
        <v>4</v>
      </c>
      <c r="O7" s="82" t="s">
        <v>46</v>
      </c>
      <c r="P7" s="83"/>
      <c r="Q7" s="83" t="s">
        <v>65</v>
      </c>
      <c r="R7" s="83"/>
      <c r="S7" s="83">
        <v>0</v>
      </c>
      <c r="T7" s="82" t="s">
        <v>66</v>
      </c>
      <c r="U7" s="85">
        <v>0.15</v>
      </c>
      <c r="V7" s="127"/>
      <c r="W7" s="134"/>
      <c r="X7" s="134"/>
      <c r="Y7" s="134"/>
      <c r="Z7" s="134"/>
      <c r="AA7" s="134"/>
      <c r="AB7" s="134"/>
      <c r="AC7" s="128"/>
      <c r="AD7" s="129"/>
      <c r="AE7" s="129"/>
      <c r="AF7" s="128"/>
      <c r="AG7" s="128"/>
      <c r="AK7" s="68"/>
      <c r="AL7" s="68"/>
      <c r="AM7" s="68"/>
      <c r="AN7" s="68"/>
      <c r="AO7" s="68"/>
      <c r="AP7" s="68"/>
      <c r="AQ7" s="69"/>
      <c r="AR7" s="69"/>
      <c r="AS7" s="69"/>
    </row>
    <row r="8" spans="1:45" s="67" customFormat="1" ht="176.25" customHeight="1" hidden="1">
      <c r="A8" s="95"/>
      <c r="B8" s="96" t="s">
        <v>61</v>
      </c>
      <c r="C8" s="86" t="s">
        <v>62</v>
      </c>
      <c r="D8" s="87">
        <v>8</v>
      </c>
      <c r="E8" s="86" t="s">
        <v>40</v>
      </c>
      <c r="F8" s="88">
        <v>8</v>
      </c>
      <c r="G8" s="86" t="s">
        <v>63</v>
      </c>
      <c r="H8" s="87">
        <v>3</v>
      </c>
      <c r="I8" s="86" t="s">
        <v>43</v>
      </c>
      <c r="J8" s="88">
        <v>886</v>
      </c>
      <c r="K8" s="86" t="s">
        <v>57</v>
      </c>
      <c r="L8" s="88">
        <v>7</v>
      </c>
      <c r="M8" s="86" t="s">
        <v>64</v>
      </c>
      <c r="N8" s="88">
        <v>5</v>
      </c>
      <c r="O8" s="86" t="s">
        <v>47</v>
      </c>
      <c r="P8" s="88"/>
      <c r="Q8" s="88" t="s">
        <v>48</v>
      </c>
      <c r="R8" s="88"/>
      <c r="S8" s="88">
        <v>0</v>
      </c>
      <c r="T8" s="86" t="s">
        <v>67</v>
      </c>
      <c r="U8" s="91">
        <v>0.345</v>
      </c>
      <c r="V8" s="127"/>
      <c r="W8" s="135"/>
      <c r="X8" s="135"/>
      <c r="Y8" s="135"/>
      <c r="Z8" s="135"/>
      <c r="AA8" s="135"/>
      <c r="AB8" s="135"/>
      <c r="AC8" s="128"/>
      <c r="AD8" s="129"/>
      <c r="AE8" s="129"/>
      <c r="AF8" s="128"/>
      <c r="AG8" s="128"/>
      <c r="AK8" s="68"/>
      <c r="AL8" s="68"/>
      <c r="AM8" s="68"/>
      <c r="AN8" s="68"/>
      <c r="AO8" s="68"/>
      <c r="AP8" s="68"/>
      <c r="AQ8" s="69"/>
      <c r="AR8" s="69"/>
      <c r="AS8" s="69"/>
    </row>
    <row r="9" spans="1:45" s="67" customFormat="1" ht="408.75" customHeight="1">
      <c r="A9" s="80"/>
      <c r="B9" s="92" t="s">
        <v>61</v>
      </c>
      <c r="C9" s="86" t="s">
        <v>62</v>
      </c>
      <c r="D9" s="87">
        <v>7</v>
      </c>
      <c r="E9" s="93" t="s">
        <v>68</v>
      </c>
      <c r="F9" s="88">
        <v>3</v>
      </c>
      <c r="G9" s="93" t="s">
        <v>58</v>
      </c>
      <c r="H9" s="87">
        <v>30</v>
      </c>
      <c r="I9" s="86" t="s">
        <v>43</v>
      </c>
      <c r="J9" s="88">
        <v>886</v>
      </c>
      <c r="K9" s="86" t="s">
        <v>57</v>
      </c>
      <c r="L9" s="88">
        <v>1</v>
      </c>
      <c r="M9" s="94" t="s">
        <v>69</v>
      </c>
      <c r="N9" s="87">
        <v>2</v>
      </c>
      <c r="O9" s="82" t="s">
        <v>70</v>
      </c>
      <c r="P9" s="88"/>
      <c r="Q9" s="88" t="s">
        <v>48</v>
      </c>
      <c r="R9" s="88"/>
      <c r="S9" s="88">
        <v>0</v>
      </c>
      <c r="T9" s="97" t="s">
        <v>71</v>
      </c>
      <c r="U9" s="98">
        <v>15</v>
      </c>
      <c r="V9" s="130"/>
      <c r="W9" s="135"/>
      <c r="X9" s="135"/>
      <c r="Y9" s="135"/>
      <c r="Z9" s="135"/>
      <c r="AA9" s="135"/>
      <c r="AB9" s="135"/>
      <c r="AC9" s="131" t="s">
        <v>107</v>
      </c>
      <c r="AD9" s="131" t="s">
        <v>108</v>
      </c>
      <c r="AE9" s="131" t="s">
        <v>109</v>
      </c>
      <c r="AF9" s="128"/>
      <c r="AG9" s="128"/>
      <c r="AK9" s="68"/>
      <c r="AL9" s="68"/>
      <c r="AM9" s="68"/>
      <c r="AN9" s="68"/>
      <c r="AO9" s="68"/>
      <c r="AP9" s="68"/>
      <c r="AQ9" s="69"/>
      <c r="AR9" s="69"/>
      <c r="AS9" s="69"/>
    </row>
    <row r="10" spans="1:45" s="65" customFormat="1" ht="15.75">
      <c r="A10" s="70"/>
      <c r="B10" s="70"/>
      <c r="C10" s="62"/>
      <c r="D10" s="70"/>
      <c r="E10" s="62"/>
      <c r="F10" s="70"/>
      <c r="G10" s="62"/>
      <c r="H10" s="70"/>
      <c r="I10" s="62"/>
      <c r="J10" s="70"/>
      <c r="K10" s="70"/>
      <c r="L10" s="70"/>
      <c r="M10" s="62"/>
      <c r="N10" s="70"/>
      <c r="O10" s="62"/>
      <c r="P10" s="70"/>
      <c r="Q10" s="63"/>
      <c r="R10" s="70"/>
      <c r="S10" s="62"/>
      <c r="T10" s="62"/>
      <c r="U10" s="70"/>
      <c r="V10" s="62"/>
      <c r="W10" s="64" t="e">
        <f>SUBTOTAL(9,#REF!)</f>
        <v>#REF!</v>
      </c>
      <c r="X10" s="64" t="e">
        <f>SUBTOTAL(9,#REF!)</f>
        <v>#REF!</v>
      </c>
      <c r="Y10" s="64" t="e">
        <f>SUBTOTAL(9,#REF!)</f>
        <v>#REF!</v>
      </c>
      <c r="Z10" s="64" t="e">
        <f>SUBTOTAL(9,#REF!)</f>
        <v>#REF!</v>
      </c>
      <c r="AA10" s="64" t="e">
        <f>SUBTOTAL(9,#REF!)</f>
        <v>#REF!</v>
      </c>
      <c r="AB10" s="64" t="e">
        <f>SUBTOTAL(9,#REF!)</f>
        <v>#REF!</v>
      </c>
      <c r="AC10" s="62"/>
      <c r="AD10" s="62"/>
      <c r="AE10" s="62"/>
      <c r="AF10" s="62"/>
      <c r="AG10" s="62"/>
      <c r="AQ10" s="66"/>
      <c r="AR10" s="66"/>
      <c r="AS10" s="66"/>
    </row>
    <row r="11" spans="1:63" s="26" customFormat="1" ht="15.75">
      <c r="A11" s="81"/>
      <c r="B11" s="28"/>
      <c r="C11" s="29"/>
      <c r="D11" s="28"/>
      <c r="E11" s="29"/>
      <c r="F11" s="28"/>
      <c r="G11" s="30"/>
      <c r="H11" s="28"/>
      <c r="I11" s="29"/>
      <c r="J11" s="28"/>
      <c r="K11" s="32"/>
      <c r="L11" s="28"/>
      <c r="M11" s="31"/>
      <c r="N11" s="32"/>
      <c r="O11" s="31"/>
      <c r="P11" s="32"/>
      <c r="Q11" s="32"/>
      <c r="R11" s="32"/>
      <c r="S11" s="25"/>
      <c r="T11" s="25"/>
      <c r="U11" s="32"/>
      <c r="V11" s="25"/>
      <c r="AQ11" s="27"/>
      <c r="AR11" s="27"/>
      <c r="AS11" s="27"/>
      <c r="AT11" s="25"/>
      <c r="AU11" s="25"/>
      <c r="AV11" s="25"/>
      <c r="AW11" s="25"/>
      <c r="AX11" s="25"/>
      <c r="AY11" s="25"/>
      <c r="AZ11" s="25"/>
      <c r="BA11" s="25"/>
      <c r="BB11" s="25"/>
      <c r="BC11" s="25"/>
      <c r="BD11" s="25"/>
      <c r="BE11" s="25"/>
      <c r="BF11" s="25"/>
      <c r="BG11" s="25"/>
      <c r="BH11" s="25"/>
      <c r="BI11" s="25"/>
      <c r="BJ11" s="25"/>
      <c r="BK11" s="25"/>
    </row>
  </sheetData>
  <sheetProtection password="ED45" sheet="1" formatRows="0"/>
  <mergeCells count="31">
    <mergeCell ref="AO5:AP5"/>
    <mergeCell ref="AK5:AL5"/>
    <mergeCell ref="AM5:AN5"/>
    <mergeCell ref="AF5:AF6"/>
    <mergeCell ref="AC5:AC6"/>
    <mergeCell ref="AE5:AE6"/>
    <mergeCell ref="A2:K2"/>
    <mergeCell ref="J5:K5"/>
    <mergeCell ref="N2:Z2"/>
    <mergeCell ref="H5:I5"/>
    <mergeCell ref="N5:O5"/>
    <mergeCell ref="A5:A6"/>
    <mergeCell ref="L5:M5"/>
    <mergeCell ref="F5:G5"/>
    <mergeCell ref="B5:C5"/>
    <mergeCell ref="T5:T6"/>
    <mergeCell ref="AB7:AB9"/>
    <mergeCell ref="AA7:AA9"/>
    <mergeCell ref="Y7:Y9"/>
    <mergeCell ref="W7:W9"/>
    <mergeCell ref="Z7:Z9"/>
    <mergeCell ref="AG5:AG6"/>
    <mergeCell ref="AD5:AD6"/>
    <mergeCell ref="AA5:AB5"/>
    <mergeCell ref="D5:E5"/>
    <mergeCell ref="X7:X9"/>
    <mergeCell ref="U5:V5"/>
    <mergeCell ref="P5:R5"/>
    <mergeCell ref="W5:X5"/>
    <mergeCell ref="Y5:Z5"/>
    <mergeCell ref="S5:S6"/>
  </mergeCells>
  <conditionalFormatting sqref="W7:AB9">
    <cfRule type="cellIs" priority="50" dxfId="7" operator="notEqual" stopIfTrue="1">
      <formula>BC7</formula>
    </cfRule>
  </conditionalFormatting>
  <conditionalFormatting sqref="W10:Z10">
    <cfRule type="cellIs" priority="8" dxfId="6"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 gestión'!#REF!</formula1>
    </dataValidation>
    <dataValidation type="list" allowBlank="1" showInputMessage="1" showErrorMessage="1" sqref="D7:E9">
      <formula1>'Metas gestión'!#REF!</formula1>
    </dataValidation>
  </dataValidations>
  <printOptions/>
  <pageMargins left="0.7" right="0.7" top="0.75" bottom="0.75" header="0.3" footer="0.3"/>
  <pageSetup horizontalDpi="600" verticalDpi="600" orientation="portrait" r:id="rId3"/>
  <ignoredErrors>
    <ignoredError sqref="B7:B9"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57"/>
  <sheetViews>
    <sheetView showGridLines="0" tabSelected="1" zoomScale="70" zoomScaleNormal="70" zoomScalePageLayoutView="0" workbookViewId="0" topLeftCell="M1">
      <selection activeCell="T14" sqref="T1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56" t="s">
        <v>33</v>
      </c>
      <c r="B2" s="157"/>
      <c r="C2" s="156" t="s">
        <v>26</v>
      </c>
      <c r="D2" s="157"/>
      <c r="E2" s="158" t="s">
        <v>32</v>
      </c>
      <c r="F2" s="157"/>
      <c r="G2" s="158" t="s">
        <v>27</v>
      </c>
      <c r="H2" s="157"/>
      <c r="I2" s="158" t="s">
        <v>39</v>
      </c>
      <c r="J2" s="157"/>
      <c r="K2" s="148" t="s">
        <v>23</v>
      </c>
      <c r="L2" s="149"/>
      <c r="M2" s="155" t="s">
        <v>22</v>
      </c>
      <c r="N2" s="139"/>
      <c r="O2" s="160" t="s">
        <v>38</v>
      </c>
      <c r="P2" s="138"/>
      <c r="Q2" s="139"/>
      <c r="R2" s="141" t="s">
        <v>21</v>
      </c>
      <c r="S2" s="140" t="s">
        <v>0</v>
      </c>
      <c r="T2" s="140"/>
      <c r="U2" s="143" t="s">
        <v>10</v>
      </c>
      <c r="V2" s="143"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59"/>
      <c r="S3" s="4" t="s">
        <v>59</v>
      </c>
      <c r="T3" s="4" t="s">
        <v>60</v>
      </c>
      <c r="U3" s="143"/>
      <c r="V3" s="143"/>
    </row>
    <row r="4" spans="1:22" s="23" customFormat="1" ht="191.25" customHeight="1" hidden="1" outlineLevel="2">
      <c r="A4" s="83">
        <v>8</v>
      </c>
      <c r="B4" s="82" t="s">
        <v>40</v>
      </c>
      <c r="C4" s="83">
        <v>8</v>
      </c>
      <c r="D4" s="82" t="s">
        <v>63</v>
      </c>
      <c r="E4" s="84">
        <v>3</v>
      </c>
      <c r="F4" s="82" t="s">
        <v>43</v>
      </c>
      <c r="G4" s="83">
        <v>886</v>
      </c>
      <c r="H4" s="82" t="s">
        <v>57</v>
      </c>
      <c r="I4" s="83">
        <v>7</v>
      </c>
      <c r="J4" s="82" t="s">
        <v>41</v>
      </c>
      <c r="K4" s="83">
        <v>4</v>
      </c>
      <c r="L4" s="82" t="s">
        <v>46</v>
      </c>
      <c r="M4" s="101">
        <v>1</v>
      </c>
      <c r="N4" s="82" t="s">
        <v>73</v>
      </c>
      <c r="O4" s="83"/>
      <c r="P4" s="83" t="s">
        <v>48</v>
      </c>
      <c r="Q4" s="83"/>
      <c r="R4" s="82" t="s">
        <v>76</v>
      </c>
      <c r="S4" s="103">
        <v>100</v>
      </c>
      <c r="T4" s="118"/>
      <c r="U4" s="119"/>
      <c r="V4" s="119"/>
    </row>
    <row r="5" spans="1:22" s="23" customFormat="1" ht="207" customHeight="1" hidden="1" outlineLevel="2">
      <c r="A5" s="83">
        <v>8</v>
      </c>
      <c r="B5" s="82" t="s">
        <v>40</v>
      </c>
      <c r="C5" s="83">
        <v>8</v>
      </c>
      <c r="D5" s="82" t="s">
        <v>63</v>
      </c>
      <c r="E5" s="84">
        <v>3</v>
      </c>
      <c r="F5" s="82" t="s">
        <v>43</v>
      </c>
      <c r="G5" s="83">
        <v>886</v>
      </c>
      <c r="H5" s="82" t="s">
        <v>57</v>
      </c>
      <c r="I5" s="83">
        <v>7</v>
      </c>
      <c r="J5" s="82" t="s">
        <v>41</v>
      </c>
      <c r="K5" s="83">
        <v>4</v>
      </c>
      <c r="L5" s="82" t="s">
        <v>46</v>
      </c>
      <c r="M5" s="102">
        <v>2</v>
      </c>
      <c r="N5" s="99" t="s">
        <v>74</v>
      </c>
      <c r="O5" s="100"/>
      <c r="P5" s="100" t="s">
        <v>48</v>
      </c>
      <c r="Q5" s="100"/>
      <c r="R5" s="99" t="s">
        <v>77</v>
      </c>
      <c r="S5" s="104">
        <v>100</v>
      </c>
      <c r="T5" s="118"/>
      <c r="U5" s="119"/>
      <c r="V5" s="119"/>
    </row>
    <row r="6" spans="1:22" s="23" customFormat="1" ht="207" customHeight="1" hidden="1" outlineLevel="2">
      <c r="A6" s="83">
        <v>8</v>
      </c>
      <c r="B6" s="82" t="s">
        <v>40</v>
      </c>
      <c r="C6" s="83">
        <v>8</v>
      </c>
      <c r="D6" s="82" t="s">
        <v>63</v>
      </c>
      <c r="E6" s="84">
        <v>3</v>
      </c>
      <c r="F6" s="82" t="s">
        <v>43</v>
      </c>
      <c r="G6" s="83">
        <v>886</v>
      </c>
      <c r="H6" s="82" t="s">
        <v>57</v>
      </c>
      <c r="I6" s="83">
        <v>7</v>
      </c>
      <c r="J6" s="82" t="s">
        <v>41</v>
      </c>
      <c r="K6" s="83">
        <v>4</v>
      </c>
      <c r="L6" s="82" t="s">
        <v>46</v>
      </c>
      <c r="M6" s="102">
        <v>3</v>
      </c>
      <c r="N6" s="99" t="s">
        <v>75</v>
      </c>
      <c r="O6" s="100"/>
      <c r="P6" s="100" t="s">
        <v>48</v>
      </c>
      <c r="Q6" s="100"/>
      <c r="R6" s="99" t="s">
        <v>78</v>
      </c>
      <c r="S6" s="104">
        <v>400</v>
      </c>
      <c r="T6" s="118"/>
      <c r="U6" s="119"/>
      <c r="V6" s="119"/>
    </row>
    <row r="7" spans="1:22" s="72" customFormat="1" ht="15" customHeight="1" hidden="1" outlineLevel="2">
      <c r="A7" s="73"/>
      <c r="B7" s="73"/>
      <c r="C7" s="73"/>
      <c r="D7" s="74"/>
      <c r="E7" s="73"/>
      <c r="F7" s="74"/>
      <c r="G7" s="73"/>
      <c r="H7" s="74"/>
      <c r="I7" s="73"/>
      <c r="J7" s="74"/>
      <c r="K7" s="73"/>
      <c r="L7" s="74"/>
      <c r="M7" s="75"/>
      <c r="N7" s="78"/>
      <c r="O7" s="75"/>
      <c r="P7" s="75"/>
      <c r="Q7" s="76"/>
      <c r="R7" s="73"/>
      <c r="S7" s="59"/>
      <c r="T7" s="120"/>
      <c r="U7" s="121"/>
      <c r="V7" s="121"/>
    </row>
    <row r="8" spans="1:22" s="23" customFormat="1" ht="154.5" customHeight="1" hidden="1" outlineLevel="2">
      <c r="A8" s="87">
        <v>8</v>
      </c>
      <c r="B8" s="86" t="s">
        <v>40</v>
      </c>
      <c r="C8" s="88">
        <v>8</v>
      </c>
      <c r="D8" s="86" t="s">
        <v>63</v>
      </c>
      <c r="E8" s="87">
        <v>3</v>
      </c>
      <c r="F8" s="86" t="s">
        <v>43</v>
      </c>
      <c r="G8" s="88">
        <v>886</v>
      </c>
      <c r="H8" s="86" t="s">
        <v>57</v>
      </c>
      <c r="I8" s="88">
        <v>7</v>
      </c>
      <c r="J8" s="86" t="s">
        <v>64</v>
      </c>
      <c r="K8" s="88">
        <v>5</v>
      </c>
      <c r="L8" s="86" t="s">
        <v>47</v>
      </c>
      <c r="M8" s="105">
        <v>1</v>
      </c>
      <c r="N8" s="86" t="s">
        <v>79</v>
      </c>
      <c r="O8" s="88"/>
      <c r="P8" s="88" t="s">
        <v>48</v>
      </c>
      <c r="Q8" s="88"/>
      <c r="R8" s="86" t="s">
        <v>91</v>
      </c>
      <c r="S8" s="113">
        <v>1</v>
      </c>
      <c r="T8" s="118"/>
      <c r="U8" s="119"/>
      <c r="V8" s="119"/>
    </row>
    <row r="9" spans="1:22" s="23" customFormat="1" ht="154.5" customHeight="1" hidden="1" outlineLevel="2">
      <c r="A9" s="87"/>
      <c r="B9" s="86"/>
      <c r="C9" s="88"/>
      <c r="D9" s="86"/>
      <c r="E9" s="87"/>
      <c r="F9" s="86"/>
      <c r="G9" s="88"/>
      <c r="H9" s="86"/>
      <c r="I9" s="88"/>
      <c r="J9" s="86"/>
      <c r="K9" s="88"/>
      <c r="L9" s="86"/>
      <c r="M9" s="106">
        <v>2</v>
      </c>
      <c r="N9" s="107" t="s">
        <v>80</v>
      </c>
      <c r="O9" s="108"/>
      <c r="P9" s="108" t="s">
        <v>48</v>
      </c>
      <c r="Q9" s="108"/>
      <c r="R9" s="107" t="s">
        <v>92</v>
      </c>
      <c r="S9" s="108">
        <v>400</v>
      </c>
      <c r="T9" s="118"/>
      <c r="U9" s="119"/>
      <c r="V9" s="119"/>
    </row>
    <row r="10" spans="1:22" s="23" customFormat="1" ht="154.5" customHeight="1" hidden="1" outlineLevel="2">
      <c r="A10" s="87"/>
      <c r="B10" s="86"/>
      <c r="C10" s="88"/>
      <c r="D10" s="86"/>
      <c r="E10" s="87"/>
      <c r="F10" s="86"/>
      <c r="G10" s="88"/>
      <c r="H10" s="86"/>
      <c r="I10" s="88"/>
      <c r="J10" s="86"/>
      <c r="K10" s="88"/>
      <c r="L10" s="86"/>
      <c r="M10" s="106">
        <v>3</v>
      </c>
      <c r="N10" s="107" t="s">
        <v>81</v>
      </c>
      <c r="O10" s="108"/>
      <c r="P10" s="108" t="s">
        <v>48</v>
      </c>
      <c r="Q10" s="108"/>
      <c r="R10" s="107" t="s">
        <v>93</v>
      </c>
      <c r="S10" s="108">
        <v>100</v>
      </c>
      <c r="T10" s="118"/>
      <c r="U10" s="119"/>
      <c r="V10" s="119"/>
    </row>
    <row r="11" spans="1:22" s="23" customFormat="1" ht="154.5" customHeight="1" hidden="1" outlineLevel="2">
      <c r="A11" s="87"/>
      <c r="B11" s="86"/>
      <c r="C11" s="88"/>
      <c r="D11" s="86"/>
      <c r="E11" s="87"/>
      <c r="F11" s="86"/>
      <c r="G11" s="88"/>
      <c r="H11" s="86"/>
      <c r="I11" s="88"/>
      <c r="J11" s="86"/>
      <c r="K11" s="88"/>
      <c r="L11" s="86"/>
      <c r="M11" s="106">
        <v>4</v>
      </c>
      <c r="N11" s="107" t="s">
        <v>82</v>
      </c>
      <c r="O11" s="108"/>
      <c r="P11" s="108" t="s">
        <v>48</v>
      </c>
      <c r="Q11" s="108"/>
      <c r="R11" s="107" t="s">
        <v>94</v>
      </c>
      <c r="S11" s="114">
        <v>1</v>
      </c>
      <c r="T11" s="118"/>
      <c r="U11" s="119"/>
      <c r="V11" s="119"/>
    </row>
    <row r="12" spans="1:22" s="23" customFormat="1" ht="154.5" customHeight="1" hidden="1" outlineLevel="2">
      <c r="A12" s="87"/>
      <c r="B12" s="86"/>
      <c r="C12" s="88"/>
      <c r="D12" s="86"/>
      <c r="E12" s="87"/>
      <c r="F12" s="86"/>
      <c r="G12" s="88"/>
      <c r="H12" s="86"/>
      <c r="I12" s="88"/>
      <c r="J12" s="86"/>
      <c r="K12" s="88"/>
      <c r="L12" s="86"/>
      <c r="M12" s="106">
        <v>5</v>
      </c>
      <c r="N12" s="107" t="s">
        <v>83</v>
      </c>
      <c r="O12" s="108"/>
      <c r="P12" s="108" t="s">
        <v>48</v>
      </c>
      <c r="Q12" s="108"/>
      <c r="R12" s="107" t="s">
        <v>94</v>
      </c>
      <c r="S12" s="114">
        <v>1</v>
      </c>
      <c r="T12" s="118"/>
      <c r="U12" s="119"/>
      <c r="V12" s="119"/>
    </row>
    <row r="13" spans="1:22" s="23" customFormat="1" ht="154.5" customHeight="1" hidden="1" outlineLevel="2">
      <c r="A13" s="87"/>
      <c r="B13" s="86"/>
      <c r="C13" s="88"/>
      <c r="D13" s="86"/>
      <c r="E13" s="87"/>
      <c r="F13" s="86"/>
      <c r="G13" s="88"/>
      <c r="H13" s="86"/>
      <c r="I13" s="88"/>
      <c r="J13" s="86"/>
      <c r="K13" s="88"/>
      <c r="L13" s="86"/>
      <c r="M13" s="108">
        <v>6</v>
      </c>
      <c r="N13" s="107" t="s">
        <v>84</v>
      </c>
      <c r="O13" s="108"/>
      <c r="P13" s="108" t="s">
        <v>48</v>
      </c>
      <c r="Q13" s="111"/>
      <c r="R13" s="107" t="s">
        <v>95</v>
      </c>
      <c r="S13" s="114">
        <v>1</v>
      </c>
      <c r="T13" s="118"/>
      <c r="U13" s="119"/>
      <c r="V13" s="119"/>
    </row>
    <row r="14" spans="1:22" s="23" customFormat="1" ht="154.5" customHeight="1" outlineLevel="2">
      <c r="A14" s="87"/>
      <c r="B14" s="86"/>
      <c r="C14" s="88"/>
      <c r="D14" s="86"/>
      <c r="E14" s="87"/>
      <c r="F14" s="86"/>
      <c r="G14" s="88"/>
      <c r="H14" s="86"/>
      <c r="I14" s="88"/>
      <c r="J14" s="86"/>
      <c r="K14" s="88"/>
      <c r="L14" s="86"/>
      <c r="M14" s="106">
        <v>7</v>
      </c>
      <c r="N14" s="99" t="s">
        <v>85</v>
      </c>
      <c r="O14" s="108"/>
      <c r="P14" s="108"/>
      <c r="Q14" s="108" t="s">
        <v>65</v>
      </c>
      <c r="R14" s="99" t="s">
        <v>96</v>
      </c>
      <c r="S14" s="114">
        <v>1</v>
      </c>
      <c r="T14" s="118">
        <v>0.17</v>
      </c>
      <c r="U14" s="119" t="s">
        <v>111</v>
      </c>
      <c r="V14" s="119"/>
    </row>
    <row r="15" spans="1:22" s="23" customFormat="1" ht="154.5" customHeight="1" outlineLevel="2">
      <c r="A15" s="87"/>
      <c r="B15" s="86"/>
      <c r="C15" s="88"/>
      <c r="D15" s="86"/>
      <c r="E15" s="87"/>
      <c r="F15" s="86"/>
      <c r="G15" s="88"/>
      <c r="H15" s="86"/>
      <c r="I15" s="88"/>
      <c r="J15" s="86"/>
      <c r="K15" s="88"/>
      <c r="L15" s="86"/>
      <c r="M15" s="106">
        <v>8</v>
      </c>
      <c r="N15" s="99" t="s">
        <v>86</v>
      </c>
      <c r="O15" s="108"/>
      <c r="P15" s="108"/>
      <c r="Q15" s="108" t="s">
        <v>65</v>
      </c>
      <c r="R15" s="99" t="s">
        <v>97</v>
      </c>
      <c r="S15" s="114">
        <v>1</v>
      </c>
      <c r="T15" s="118">
        <v>0.17</v>
      </c>
      <c r="U15" s="119" t="s">
        <v>112</v>
      </c>
      <c r="V15" s="119"/>
    </row>
    <row r="16" spans="1:22" s="23" customFormat="1" ht="154.5" customHeight="1" outlineLevel="2">
      <c r="A16" s="87"/>
      <c r="B16" s="86"/>
      <c r="C16" s="88"/>
      <c r="D16" s="86"/>
      <c r="E16" s="87"/>
      <c r="F16" s="86"/>
      <c r="G16" s="88"/>
      <c r="H16" s="86"/>
      <c r="I16" s="88"/>
      <c r="J16" s="86"/>
      <c r="K16" s="88"/>
      <c r="L16" s="86"/>
      <c r="M16" s="106">
        <v>9</v>
      </c>
      <c r="N16" s="99" t="s">
        <v>87</v>
      </c>
      <c r="O16" s="108"/>
      <c r="P16" s="108"/>
      <c r="Q16" s="108" t="s">
        <v>65</v>
      </c>
      <c r="R16" s="99" t="s">
        <v>98</v>
      </c>
      <c r="S16" s="114">
        <v>1</v>
      </c>
      <c r="T16" s="118">
        <v>0.16666666666666669</v>
      </c>
      <c r="U16" s="119" t="s">
        <v>113</v>
      </c>
      <c r="V16" s="119"/>
    </row>
    <row r="17" spans="1:22" s="23" customFormat="1" ht="238.5" customHeight="1" outlineLevel="2">
      <c r="A17" s="87"/>
      <c r="B17" s="86"/>
      <c r="C17" s="88"/>
      <c r="D17" s="86"/>
      <c r="E17" s="87"/>
      <c r="F17" s="86"/>
      <c r="G17" s="88"/>
      <c r="H17" s="86"/>
      <c r="I17" s="88"/>
      <c r="J17" s="86"/>
      <c r="K17" s="88"/>
      <c r="L17" s="86"/>
      <c r="M17" s="106">
        <v>10</v>
      </c>
      <c r="N17" s="99" t="s">
        <v>88</v>
      </c>
      <c r="O17" s="108"/>
      <c r="P17" s="108"/>
      <c r="Q17" s="108" t="s">
        <v>65</v>
      </c>
      <c r="R17" s="99" t="s">
        <v>99</v>
      </c>
      <c r="S17" s="114">
        <v>1</v>
      </c>
      <c r="T17" s="118">
        <v>0.16666666666666669</v>
      </c>
      <c r="U17" s="122" t="s">
        <v>114</v>
      </c>
      <c r="V17" s="119"/>
    </row>
    <row r="18" spans="1:22" s="23" customFormat="1" ht="102.75" customHeight="1" outlineLevel="2">
      <c r="A18" s="87"/>
      <c r="B18" s="86"/>
      <c r="C18" s="88"/>
      <c r="D18" s="86"/>
      <c r="E18" s="87"/>
      <c r="F18" s="86"/>
      <c r="G18" s="88"/>
      <c r="H18" s="86"/>
      <c r="I18" s="88"/>
      <c r="J18" s="86"/>
      <c r="K18" s="88"/>
      <c r="L18" s="86"/>
      <c r="M18" s="106">
        <v>11</v>
      </c>
      <c r="N18" s="99" t="s">
        <v>89</v>
      </c>
      <c r="O18" s="108"/>
      <c r="P18" s="108"/>
      <c r="Q18" s="108" t="s">
        <v>65</v>
      </c>
      <c r="R18" s="99" t="s">
        <v>100</v>
      </c>
      <c r="S18" s="114">
        <v>1</v>
      </c>
      <c r="T18" s="118">
        <v>0.15</v>
      </c>
      <c r="U18" s="119" t="s">
        <v>115</v>
      </c>
      <c r="V18" s="119"/>
    </row>
    <row r="19" spans="1:22" s="23" customFormat="1" ht="101.25" customHeight="1" outlineLevel="2" thickBot="1">
      <c r="A19" s="87"/>
      <c r="B19" s="86"/>
      <c r="C19" s="88"/>
      <c r="D19" s="86"/>
      <c r="E19" s="87"/>
      <c r="F19" s="86"/>
      <c r="G19" s="88"/>
      <c r="H19" s="86"/>
      <c r="I19" s="88"/>
      <c r="J19" s="86"/>
      <c r="K19" s="88"/>
      <c r="L19" s="86"/>
      <c r="M19" s="109">
        <v>12</v>
      </c>
      <c r="N19" s="110" t="s">
        <v>90</v>
      </c>
      <c r="O19" s="112"/>
      <c r="P19" s="112"/>
      <c r="Q19" s="112" t="s">
        <v>65</v>
      </c>
      <c r="R19" s="110" t="s">
        <v>101</v>
      </c>
      <c r="S19" s="115">
        <v>1</v>
      </c>
      <c r="T19" s="118">
        <v>0</v>
      </c>
      <c r="U19" s="119" t="s">
        <v>106</v>
      </c>
      <c r="V19" s="119"/>
    </row>
    <row r="20" spans="1:22" s="72" customFormat="1" ht="15" customHeight="1" outlineLevel="2">
      <c r="A20" s="73"/>
      <c r="B20" s="73"/>
      <c r="C20" s="73"/>
      <c r="D20" s="74"/>
      <c r="E20" s="73"/>
      <c r="F20" s="74"/>
      <c r="G20" s="73"/>
      <c r="H20" s="74"/>
      <c r="I20" s="73"/>
      <c r="J20" s="74"/>
      <c r="K20" s="73"/>
      <c r="L20" s="74"/>
      <c r="M20" s="77"/>
      <c r="N20" s="78"/>
      <c r="O20" s="77"/>
      <c r="P20" s="77"/>
      <c r="Q20" s="77"/>
      <c r="R20" s="73"/>
      <c r="S20" s="59"/>
      <c r="T20" s="120"/>
      <c r="U20" s="121"/>
      <c r="V20" s="121"/>
    </row>
    <row r="21" spans="1:22" s="23" customFormat="1" ht="284.25" customHeight="1" outlineLevel="2">
      <c r="A21" s="87">
        <v>7</v>
      </c>
      <c r="B21" s="93" t="s">
        <v>68</v>
      </c>
      <c r="C21" s="88">
        <v>3</v>
      </c>
      <c r="D21" s="93" t="s">
        <v>58</v>
      </c>
      <c r="E21" s="87">
        <v>30</v>
      </c>
      <c r="F21" s="86" t="s">
        <v>43</v>
      </c>
      <c r="G21" s="88">
        <v>886</v>
      </c>
      <c r="H21" s="86" t="s">
        <v>57</v>
      </c>
      <c r="I21" s="88">
        <v>1</v>
      </c>
      <c r="J21" s="94" t="s">
        <v>69</v>
      </c>
      <c r="K21" s="87">
        <v>2</v>
      </c>
      <c r="L21" s="82" t="s">
        <v>70</v>
      </c>
      <c r="M21" s="83">
        <v>1</v>
      </c>
      <c r="N21" s="82" t="s">
        <v>102</v>
      </c>
      <c r="O21" s="88"/>
      <c r="P21" s="88"/>
      <c r="Q21" s="88" t="s">
        <v>65</v>
      </c>
      <c r="R21" s="82" t="s">
        <v>104</v>
      </c>
      <c r="S21" s="116">
        <v>1</v>
      </c>
      <c r="T21" s="118">
        <v>1</v>
      </c>
      <c r="U21" s="122" t="s">
        <v>110</v>
      </c>
      <c r="V21" s="119"/>
    </row>
    <row r="22" spans="1:22" s="23" customFormat="1" ht="201" customHeight="1" outlineLevel="2">
      <c r="A22" s="87"/>
      <c r="B22" s="93"/>
      <c r="C22" s="88"/>
      <c r="D22" s="93"/>
      <c r="E22" s="87"/>
      <c r="F22" s="86"/>
      <c r="G22" s="88"/>
      <c r="H22" s="86"/>
      <c r="I22" s="88"/>
      <c r="J22" s="94"/>
      <c r="K22" s="87"/>
      <c r="L22" s="82"/>
      <c r="M22" s="100">
        <v>2</v>
      </c>
      <c r="N22" s="99" t="s">
        <v>103</v>
      </c>
      <c r="O22" s="108"/>
      <c r="P22" s="108"/>
      <c r="Q22" s="108" t="s">
        <v>65</v>
      </c>
      <c r="R22" s="99" t="s">
        <v>105</v>
      </c>
      <c r="S22" s="114">
        <v>1</v>
      </c>
      <c r="T22" s="118">
        <v>1</v>
      </c>
      <c r="U22" s="122" t="s">
        <v>116</v>
      </c>
      <c r="V22" s="119"/>
    </row>
    <row r="23" spans="1:22" s="72" customFormat="1" ht="15" customHeight="1" outlineLevel="2">
      <c r="A23" s="73"/>
      <c r="B23" s="73"/>
      <c r="C23" s="73"/>
      <c r="D23" s="74"/>
      <c r="E23" s="73"/>
      <c r="F23" s="74"/>
      <c r="G23" s="73"/>
      <c r="H23" s="74"/>
      <c r="I23" s="73"/>
      <c r="J23" s="74"/>
      <c r="K23" s="73"/>
      <c r="L23" s="74"/>
      <c r="M23" s="77"/>
      <c r="N23" s="78"/>
      <c r="O23" s="77"/>
      <c r="P23" s="77"/>
      <c r="Q23" s="77"/>
      <c r="R23" s="73"/>
      <c r="S23" s="59"/>
      <c r="T23" s="120"/>
      <c r="U23" s="121"/>
      <c r="V23" s="121"/>
    </row>
    <row r="24" spans="1:22" s="20" customFormat="1" ht="50.25" customHeight="1" hidden="1">
      <c r="A24" s="39">
        <v>7</v>
      </c>
      <c r="B24" s="42" t="s">
        <v>40</v>
      </c>
      <c r="C24" s="39">
        <v>7</v>
      </c>
      <c r="D24" s="42" t="s">
        <v>42</v>
      </c>
      <c r="E24" s="39">
        <v>3</v>
      </c>
      <c r="F24" s="42" t="s">
        <v>43</v>
      </c>
      <c r="G24" s="39">
        <v>886</v>
      </c>
      <c r="H24" s="42" t="s">
        <v>44</v>
      </c>
      <c r="I24" s="39">
        <v>7</v>
      </c>
      <c r="J24" s="42" t="s">
        <v>41</v>
      </c>
      <c r="K24" s="39">
        <v>1</v>
      </c>
      <c r="L24" s="47" t="s">
        <v>45</v>
      </c>
      <c r="M24" s="21">
        <v>7</v>
      </c>
      <c r="N24" s="47" t="s">
        <v>49</v>
      </c>
      <c r="O24" s="39"/>
      <c r="P24" s="42"/>
      <c r="Q24" s="47" t="s">
        <v>48</v>
      </c>
      <c r="R24" s="47" t="s">
        <v>53</v>
      </c>
      <c r="S24" s="44">
        <v>1</v>
      </c>
      <c r="T24" s="123"/>
      <c r="U24" s="124"/>
      <c r="V24" s="124"/>
    </row>
    <row r="25" spans="1:22" s="20" customFormat="1" ht="50.25" customHeight="1" hidden="1">
      <c r="A25" s="46">
        <v>7</v>
      </c>
      <c r="B25" s="43" t="s">
        <v>40</v>
      </c>
      <c r="C25" s="43">
        <v>7</v>
      </c>
      <c r="D25" s="48" t="s">
        <v>42</v>
      </c>
      <c r="E25" s="48">
        <v>3</v>
      </c>
      <c r="F25" s="43" t="s">
        <v>43</v>
      </c>
      <c r="G25" s="40">
        <v>886</v>
      </c>
      <c r="H25" s="43" t="s">
        <v>44</v>
      </c>
      <c r="I25" s="49">
        <v>7</v>
      </c>
      <c r="J25" s="47" t="s">
        <v>41</v>
      </c>
      <c r="K25" s="40">
        <v>1</v>
      </c>
      <c r="L25" s="43" t="s">
        <v>45</v>
      </c>
      <c r="M25" s="21">
        <v>8</v>
      </c>
      <c r="N25" s="50" t="s">
        <v>50</v>
      </c>
      <c r="O25" s="40"/>
      <c r="P25" s="40"/>
      <c r="Q25" s="45" t="s">
        <v>48</v>
      </c>
      <c r="R25" s="45" t="s">
        <v>54</v>
      </c>
      <c r="S25" s="41">
        <v>1</v>
      </c>
      <c r="T25" s="123"/>
      <c r="U25" s="124"/>
      <c r="V25" s="124"/>
    </row>
    <row r="26" spans="1:22" s="20" customFormat="1" ht="12.75" customHeight="1" hidden="1">
      <c r="A26" s="51"/>
      <c r="B26" s="52"/>
      <c r="C26" s="51"/>
      <c r="D26" s="52"/>
      <c r="E26" s="51"/>
      <c r="F26" s="52"/>
      <c r="G26" s="51"/>
      <c r="H26" s="52"/>
      <c r="I26" s="51"/>
      <c r="J26" s="52"/>
      <c r="K26" s="51"/>
      <c r="L26" s="53"/>
      <c r="M26" s="54"/>
      <c r="N26" s="55"/>
      <c r="O26" s="56"/>
      <c r="P26" s="57"/>
      <c r="Q26" s="58"/>
      <c r="R26" s="55"/>
      <c r="S26" s="59"/>
      <c r="T26" s="125"/>
      <c r="U26" s="126"/>
      <c r="V26" s="126"/>
    </row>
    <row r="27" spans="1:22" s="20" customFormat="1" ht="50.25" customHeight="1" hidden="1">
      <c r="A27" s="46">
        <v>7</v>
      </c>
      <c r="B27" s="43" t="s">
        <v>40</v>
      </c>
      <c r="C27" s="43">
        <v>7</v>
      </c>
      <c r="D27" s="48" t="s">
        <v>42</v>
      </c>
      <c r="E27" s="48">
        <v>30</v>
      </c>
      <c r="F27" s="43" t="s">
        <v>43</v>
      </c>
      <c r="G27" s="40">
        <v>886</v>
      </c>
      <c r="H27" s="43" t="s">
        <v>44</v>
      </c>
      <c r="I27" s="49">
        <v>7</v>
      </c>
      <c r="J27" s="47" t="s">
        <v>41</v>
      </c>
      <c r="K27" s="40">
        <v>2</v>
      </c>
      <c r="L27" s="43" t="s">
        <v>46</v>
      </c>
      <c r="M27" s="21">
        <v>9</v>
      </c>
      <c r="N27" s="45" t="s">
        <v>51</v>
      </c>
      <c r="O27" s="40"/>
      <c r="P27" s="40"/>
      <c r="Q27" s="45" t="s">
        <v>48</v>
      </c>
      <c r="R27" s="45" t="s">
        <v>55</v>
      </c>
      <c r="S27" s="41">
        <v>1</v>
      </c>
      <c r="T27" s="123"/>
      <c r="U27" s="124"/>
      <c r="V27" s="124"/>
    </row>
    <row r="28" spans="1:22" s="20" customFormat="1" ht="12.75" customHeight="1" hidden="1">
      <c r="A28" s="51"/>
      <c r="B28" s="52"/>
      <c r="C28" s="51"/>
      <c r="D28" s="52"/>
      <c r="E28" s="51"/>
      <c r="F28" s="52"/>
      <c r="G28" s="51"/>
      <c r="H28" s="52"/>
      <c r="I28" s="51"/>
      <c r="J28" s="52"/>
      <c r="K28" s="51"/>
      <c r="L28" s="53"/>
      <c r="M28" s="54"/>
      <c r="N28" s="55"/>
      <c r="O28" s="56"/>
      <c r="P28" s="57"/>
      <c r="Q28" s="58"/>
      <c r="R28" s="55"/>
      <c r="S28" s="59"/>
      <c r="T28" s="125"/>
      <c r="U28" s="126"/>
      <c r="V28" s="126"/>
    </row>
    <row r="29" spans="1:22" s="20" customFormat="1" ht="50.25" customHeight="1" hidden="1">
      <c r="A29" s="46">
        <v>7</v>
      </c>
      <c r="B29" s="43" t="s">
        <v>40</v>
      </c>
      <c r="C29" s="43">
        <v>7</v>
      </c>
      <c r="D29" s="48" t="s">
        <v>42</v>
      </c>
      <c r="E29" s="48">
        <v>30</v>
      </c>
      <c r="F29" s="43" t="s">
        <v>43</v>
      </c>
      <c r="G29" s="40">
        <v>886</v>
      </c>
      <c r="H29" s="43" t="s">
        <v>44</v>
      </c>
      <c r="I29" s="49">
        <v>7</v>
      </c>
      <c r="J29" s="47" t="s">
        <v>41</v>
      </c>
      <c r="K29" s="40">
        <v>3</v>
      </c>
      <c r="L29" s="43" t="s">
        <v>47</v>
      </c>
      <c r="M29" s="21">
        <v>10</v>
      </c>
      <c r="N29" s="47" t="s">
        <v>52</v>
      </c>
      <c r="O29" s="40"/>
      <c r="P29" s="40"/>
      <c r="Q29" s="45" t="s">
        <v>48</v>
      </c>
      <c r="R29" s="45" t="s">
        <v>56</v>
      </c>
      <c r="S29" s="41">
        <v>1</v>
      </c>
      <c r="T29" s="123"/>
      <c r="U29" s="124"/>
      <c r="V29" s="124"/>
    </row>
    <row r="30" spans="1:22" s="20" customFormat="1" ht="12.75" customHeight="1" hidden="1">
      <c r="A30" s="51"/>
      <c r="B30" s="52"/>
      <c r="C30" s="51"/>
      <c r="D30" s="52"/>
      <c r="E30" s="51"/>
      <c r="F30" s="52"/>
      <c r="G30" s="51"/>
      <c r="H30" s="52"/>
      <c r="I30" s="51"/>
      <c r="J30" s="52"/>
      <c r="K30" s="51"/>
      <c r="L30" s="53"/>
      <c r="M30" s="54"/>
      <c r="N30" s="55"/>
      <c r="O30" s="56"/>
      <c r="P30" s="57"/>
      <c r="Q30" s="58"/>
      <c r="R30" s="55"/>
      <c r="S30" s="59"/>
      <c r="T30" s="125"/>
      <c r="U30" s="126"/>
      <c r="V30" s="126"/>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V2:V3"/>
    <mergeCell ref="I2:J2"/>
    <mergeCell ref="R2:R3"/>
    <mergeCell ref="S2:T2"/>
    <mergeCell ref="O2:Q2"/>
    <mergeCell ref="G2:H2"/>
    <mergeCell ref="K2:L2"/>
    <mergeCell ref="M2:N2"/>
    <mergeCell ref="A2:B2"/>
    <mergeCell ref="C2:D2"/>
    <mergeCell ref="E2:F2"/>
    <mergeCell ref="U2:U3"/>
  </mergeCells>
  <dataValidations count="2">
    <dataValidation type="list" allowBlank="1" showInputMessage="1" showErrorMessage="1" sqref="C8:D19 C21:D22 C4:D6">
      <formula1>#REF!</formula1>
    </dataValidation>
    <dataValidation type="list" allowBlank="1" showInputMessage="1" showErrorMessage="1" sqref="F21:F22 F4:F6 F8:F19">
      <formula1>$AY$24:$AY$44</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2015-10-15T20:49:37Z</dcterms:modified>
  <cp:category/>
  <cp:version/>
  <cp:contentType/>
  <cp:contentStatus/>
</cp:coreProperties>
</file>