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08" activeTab="2"/>
  </bookViews>
  <sheets>
    <sheet name="Metas inversión 886" sheetId="1" r:id="rId1"/>
    <sheet name="Actividades inversión 886" sheetId="2" r:id="rId2"/>
    <sheet name="Metas gestión" sheetId="3" r:id="rId3"/>
    <sheet name="Actividades gestión" sheetId="4" r:id="rId4"/>
  </sheets>
  <externalReferences>
    <externalReference r:id="rId7"/>
    <externalReference r:id="rId8"/>
  </externalReferences>
  <definedNames>
    <definedName name="_xlnm._FilterDatabase" localSheetId="3" hidden="1">'Actividades gestión'!$A$3:$V$3</definedName>
    <definedName name="_xlnm._FilterDatabase" localSheetId="0" hidden="1">'Metas inversión 886'!$A$15:$AA$127</definedName>
    <definedName name="_xlnm.Print_Area" localSheetId="2">'Metas gestión'!#REF!</definedName>
    <definedName name="_xlnm.Print_Area" localSheetId="0">'Metas inversión 886'!#REF!</definedName>
  </definedNames>
  <calcPr fullCalcOnLoad="1"/>
</workbook>
</file>

<file path=xl/comments1.xml><?xml version="1.0" encoding="utf-8"?>
<comments xmlns="http://schemas.openxmlformats.org/spreadsheetml/2006/main">
  <authors>
    <author>sjgomez</author>
    <author>mmmadrid</author>
  </authors>
  <commentList>
    <comment ref="O16" authorId="0">
      <text>
        <r>
          <rPr>
            <b/>
            <sz val="9"/>
            <rFont val="Tahoma"/>
            <family val="2"/>
          </rPr>
          <t>sjgomez:</t>
        </r>
        <r>
          <rPr>
            <sz val="9"/>
            <rFont val="Tahoma"/>
            <family val="2"/>
          </rPr>
          <t xml:space="preserve">
meta de suma
</t>
        </r>
      </text>
    </comment>
    <comment ref="O32" authorId="0">
      <text>
        <r>
          <rPr>
            <b/>
            <sz val="9"/>
            <rFont val="Tahoma"/>
            <family val="2"/>
          </rPr>
          <t>sjgomez:</t>
        </r>
        <r>
          <rPr>
            <sz val="9"/>
            <rFont val="Tahoma"/>
            <family val="2"/>
          </rPr>
          <t xml:space="preserve">
meta constante</t>
        </r>
      </text>
    </comment>
    <comment ref="O48" authorId="0">
      <text>
        <r>
          <rPr>
            <b/>
            <sz val="9"/>
            <rFont val="Tahoma"/>
            <family val="2"/>
          </rPr>
          <t>sjgomez:</t>
        </r>
        <r>
          <rPr>
            <sz val="9"/>
            <rFont val="Tahoma"/>
            <family val="2"/>
          </rPr>
          <t xml:space="preserve">
meta constante</t>
        </r>
      </text>
    </comment>
    <comment ref="O64" authorId="0">
      <text>
        <r>
          <rPr>
            <b/>
            <sz val="9"/>
            <rFont val="Tahoma"/>
            <family val="2"/>
          </rPr>
          <t>sjgomez:</t>
        </r>
        <r>
          <rPr>
            <sz val="9"/>
            <rFont val="Tahoma"/>
            <family val="2"/>
          </rPr>
          <t xml:space="preserve">
meta de suma</t>
        </r>
      </text>
    </comment>
    <comment ref="P64" authorId="1">
      <text>
        <r>
          <rPr>
            <b/>
            <sz val="9"/>
            <rFont val="Tahoma"/>
            <family val="2"/>
          </rPr>
          <t>mmmadrid:</t>
        </r>
        <r>
          <rPr>
            <sz val="9"/>
            <rFont val="Tahoma"/>
            <family val="2"/>
          </rPr>
          <t xml:space="preserve">
PLANES DE LARGO PLAZO: Plan decenal de Salud Pública (se encuentra en alistamiento para la armonización)
PLANES DE MEDIANO PLAZO: Plan de Desarrollo, Plan territorial de Salud, Plan financiero plurianual.
PLANES DE CORTO PLAZO: Plan financiero plurianual territorial, 13 POAI (Planes operativos anuales de inversión- formulados e implementados), 13 POA (Planes operativos anuales por Dirección- en formulación)</t>
        </r>
      </text>
    </comment>
    <comment ref="P65" authorId="1">
      <text>
        <r>
          <rPr>
            <b/>
            <sz val="9"/>
            <rFont val="Tahoma"/>
            <family val="2"/>
          </rPr>
          <t>mmmadrid:</t>
        </r>
        <r>
          <rPr>
            <sz val="9"/>
            <rFont val="Tahoma"/>
            <family val="2"/>
          </rPr>
          <t xml:space="preserve">
TERRITORIOS SALUDABLES Y RED DE SALUD PARA LA VIDA DESDE LA DIVERSIDAD.
BOGOTA HUMANA AMBIENTALMENTE SALUDABLE.
BOGOTA DECIDE Y PROTEGE EL DERECHO FUNDAMENTAL A LA SALUD PUBLICA
</t>
        </r>
      </text>
    </comment>
    <comment ref="O80" authorId="0">
      <text>
        <r>
          <rPr>
            <b/>
            <sz val="9"/>
            <rFont val="Tahoma"/>
            <family val="2"/>
          </rPr>
          <t>sjgomez:</t>
        </r>
        <r>
          <rPr>
            <sz val="9"/>
            <rFont val="Tahoma"/>
            <family val="2"/>
          </rPr>
          <t xml:space="preserve">
meta de suma
</t>
        </r>
      </text>
    </comment>
    <comment ref="O96" authorId="0">
      <text>
        <r>
          <rPr>
            <b/>
            <sz val="9"/>
            <rFont val="Tahoma"/>
            <family val="2"/>
          </rPr>
          <t>sjgomez:</t>
        </r>
        <r>
          <rPr>
            <sz val="9"/>
            <rFont val="Tahoma"/>
            <family val="2"/>
          </rPr>
          <t xml:space="preserve">
meta de suma</t>
        </r>
      </text>
    </comment>
    <comment ref="O112" authorId="0">
      <text>
        <r>
          <rPr>
            <b/>
            <sz val="9"/>
            <rFont val="Tahoma"/>
            <family val="2"/>
          </rPr>
          <t>sjgomez:</t>
        </r>
        <r>
          <rPr>
            <sz val="9"/>
            <rFont val="Tahoma"/>
            <family val="2"/>
          </rPr>
          <t xml:space="preserve">
meta de suma</t>
        </r>
      </text>
    </comment>
  </commentList>
</comments>
</file>

<file path=xl/comments2.xml><?xml version="1.0" encoding="utf-8"?>
<comments xmlns="http://schemas.openxmlformats.org/spreadsheetml/2006/main">
  <authors>
    <author>sjgomez</author>
    <author>mmmadrid</author>
  </authors>
  <commentList>
    <comment ref="K13" authorId="0">
      <text>
        <r>
          <rPr>
            <b/>
            <sz val="9"/>
            <rFont val="Tahoma"/>
            <family val="2"/>
          </rPr>
          <t>sjgomez:</t>
        </r>
        <r>
          <rPr>
            <sz val="9"/>
            <rFont val="Tahoma"/>
            <family val="2"/>
          </rPr>
          <t xml:space="preserve">
suma
</t>
        </r>
      </text>
    </comment>
    <comment ref="K14" authorId="0">
      <text>
        <r>
          <rPr>
            <b/>
            <sz val="9"/>
            <rFont val="Tahoma"/>
            <family val="2"/>
          </rPr>
          <t>sjgomez:</t>
        </r>
        <r>
          <rPr>
            <sz val="9"/>
            <rFont val="Tahoma"/>
            <family val="2"/>
          </rPr>
          <t xml:space="preserve">
constante</t>
        </r>
      </text>
    </comment>
    <comment ref="K15" authorId="0">
      <text>
        <r>
          <rPr>
            <b/>
            <sz val="9"/>
            <rFont val="Tahoma"/>
            <family val="2"/>
          </rPr>
          <t>sjgomez:</t>
        </r>
        <r>
          <rPr>
            <sz val="9"/>
            <rFont val="Tahoma"/>
            <family val="2"/>
          </rPr>
          <t xml:space="preserve">
constante</t>
        </r>
      </text>
    </comment>
    <comment ref="K17" authorId="0">
      <text>
        <r>
          <rPr>
            <b/>
            <sz val="9"/>
            <rFont val="Tahoma"/>
            <family val="2"/>
          </rPr>
          <t>sjgomez:</t>
        </r>
        <r>
          <rPr>
            <sz val="9"/>
            <rFont val="Tahoma"/>
            <family val="2"/>
          </rPr>
          <t xml:space="preserve">
suma</t>
        </r>
      </text>
    </comment>
    <comment ref="K18" authorId="0">
      <text>
        <r>
          <rPr>
            <b/>
            <sz val="9"/>
            <rFont val="Tahoma"/>
            <family val="2"/>
          </rPr>
          <t>sjgomez:</t>
        </r>
        <r>
          <rPr>
            <sz val="9"/>
            <rFont val="Tahoma"/>
            <family val="2"/>
          </rPr>
          <t xml:space="preserve">
suma</t>
        </r>
      </text>
    </comment>
    <comment ref="K19" authorId="0">
      <text>
        <r>
          <rPr>
            <b/>
            <sz val="9"/>
            <rFont val="Tahoma"/>
            <family val="2"/>
          </rPr>
          <t>sjgomez:</t>
        </r>
        <r>
          <rPr>
            <sz val="9"/>
            <rFont val="Tahoma"/>
            <family val="2"/>
          </rPr>
          <t xml:space="preserve">
suma</t>
        </r>
      </text>
    </comment>
    <comment ref="K20" authorId="0">
      <text>
        <r>
          <rPr>
            <b/>
            <sz val="9"/>
            <rFont val="Tahoma"/>
            <family val="2"/>
          </rPr>
          <t>sjgomez:</t>
        </r>
        <r>
          <rPr>
            <sz val="9"/>
            <rFont val="Tahoma"/>
            <family val="2"/>
          </rPr>
          <t xml:space="preserve">
suma</t>
        </r>
      </text>
    </comment>
    <comment ref="K22" authorId="0">
      <text>
        <r>
          <rPr>
            <b/>
            <sz val="9"/>
            <rFont val="Tahoma"/>
            <family val="2"/>
          </rPr>
          <t>sjgomez:</t>
        </r>
        <r>
          <rPr>
            <sz val="9"/>
            <rFont val="Tahoma"/>
            <family val="2"/>
          </rPr>
          <t xml:space="preserve">
constante</t>
        </r>
      </text>
    </comment>
    <comment ref="K23" authorId="0">
      <text>
        <r>
          <rPr>
            <b/>
            <sz val="9"/>
            <rFont val="Tahoma"/>
            <family val="2"/>
          </rPr>
          <t>sjgomez:</t>
        </r>
        <r>
          <rPr>
            <sz val="9"/>
            <rFont val="Tahoma"/>
            <family val="2"/>
          </rPr>
          <t xml:space="preserve">
constante</t>
        </r>
      </text>
    </comment>
    <comment ref="K25" authorId="0">
      <text>
        <r>
          <rPr>
            <b/>
            <sz val="9"/>
            <rFont val="Tahoma"/>
            <family val="2"/>
          </rPr>
          <t>sjgomez:</t>
        </r>
        <r>
          <rPr>
            <sz val="9"/>
            <rFont val="Tahoma"/>
            <family val="2"/>
          </rPr>
          <t xml:space="preserve">
constante</t>
        </r>
      </text>
    </comment>
    <comment ref="K26" authorId="0">
      <text>
        <r>
          <rPr>
            <b/>
            <sz val="9"/>
            <rFont val="Tahoma"/>
            <family val="2"/>
          </rPr>
          <t>sjgomez:</t>
        </r>
        <r>
          <rPr>
            <sz val="9"/>
            <rFont val="Tahoma"/>
            <family val="2"/>
          </rPr>
          <t xml:space="preserve">
constante</t>
        </r>
      </text>
    </comment>
    <comment ref="K27" authorId="0">
      <text>
        <r>
          <rPr>
            <b/>
            <sz val="9"/>
            <rFont val="Tahoma"/>
            <family val="2"/>
          </rPr>
          <t>sjgomez:</t>
        </r>
        <r>
          <rPr>
            <sz val="9"/>
            <rFont val="Tahoma"/>
            <family val="2"/>
          </rPr>
          <t xml:space="preserve">
suma</t>
        </r>
      </text>
    </comment>
    <comment ref="K28" authorId="0">
      <text>
        <r>
          <rPr>
            <b/>
            <sz val="9"/>
            <rFont val="Tahoma"/>
            <family val="2"/>
          </rPr>
          <t>sjgomez:</t>
        </r>
        <r>
          <rPr>
            <sz val="9"/>
            <rFont val="Tahoma"/>
            <family val="2"/>
          </rPr>
          <t xml:space="preserve">
suma</t>
        </r>
      </text>
    </comment>
    <comment ref="K29" authorId="0">
      <text>
        <r>
          <rPr>
            <b/>
            <sz val="9"/>
            <rFont val="Tahoma"/>
            <family val="2"/>
          </rPr>
          <t>sjgomez:</t>
        </r>
        <r>
          <rPr>
            <sz val="9"/>
            <rFont val="Tahoma"/>
            <family val="2"/>
          </rPr>
          <t xml:space="preserve">
suma</t>
        </r>
      </text>
    </comment>
    <comment ref="K30" authorId="0">
      <text>
        <r>
          <rPr>
            <b/>
            <sz val="9"/>
            <rFont val="Tahoma"/>
            <family val="2"/>
          </rPr>
          <t>sjgomez:</t>
        </r>
        <r>
          <rPr>
            <sz val="9"/>
            <rFont val="Tahoma"/>
            <family val="2"/>
          </rPr>
          <t xml:space="preserve">
suma</t>
        </r>
      </text>
    </comment>
    <comment ref="K31" authorId="0">
      <text>
        <r>
          <rPr>
            <b/>
            <sz val="9"/>
            <rFont val="Tahoma"/>
            <family val="2"/>
          </rPr>
          <t>sjgomez:</t>
        </r>
        <r>
          <rPr>
            <sz val="9"/>
            <rFont val="Tahoma"/>
            <family val="2"/>
          </rPr>
          <t xml:space="preserve">
suma</t>
        </r>
      </text>
    </comment>
    <comment ref="K32" authorId="0">
      <text>
        <r>
          <rPr>
            <b/>
            <sz val="9"/>
            <rFont val="Tahoma"/>
            <family val="2"/>
          </rPr>
          <t>sjgomez:</t>
        </r>
        <r>
          <rPr>
            <sz val="9"/>
            <rFont val="Tahoma"/>
            <family val="2"/>
          </rPr>
          <t xml:space="preserve">
suma</t>
        </r>
      </text>
    </comment>
    <comment ref="K33" authorId="0">
      <text>
        <r>
          <rPr>
            <b/>
            <sz val="9"/>
            <rFont val="Tahoma"/>
            <family val="2"/>
          </rPr>
          <t>sjgomez:</t>
        </r>
        <r>
          <rPr>
            <sz val="9"/>
            <rFont val="Tahoma"/>
            <family val="2"/>
          </rPr>
          <t xml:space="preserve">
suma</t>
        </r>
      </text>
    </comment>
    <comment ref="L33" authorId="1">
      <text>
        <r>
          <rPr>
            <b/>
            <sz val="9"/>
            <rFont val="Tahoma"/>
            <family val="2"/>
          </rPr>
          <t>mmmadrid:</t>
        </r>
        <r>
          <rPr>
            <sz val="9"/>
            <rFont val="Tahoma"/>
            <family val="2"/>
          </rPr>
          <t xml:space="preserve">
- Matriz Del ministerio consolidada
- 18 planes anuales de adquisiciones
- Seguimientos a los proyectos de inversión
No ha avance con respecto a Abril 2015</t>
        </r>
      </text>
    </comment>
    <comment ref="K34" authorId="0">
      <text>
        <r>
          <rPr>
            <b/>
            <sz val="9"/>
            <rFont val="Tahoma"/>
            <family val="2"/>
          </rPr>
          <t>sjgomez:</t>
        </r>
        <r>
          <rPr>
            <sz val="9"/>
            <rFont val="Tahoma"/>
            <family val="2"/>
          </rPr>
          <t xml:space="preserve">
suma</t>
        </r>
      </text>
    </comment>
    <comment ref="L34" authorId="1">
      <text>
        <r>
          <rPr>
            <b/>
            <sz val="9"/>
            <rFont val="Tahoma"/>
            <family val="2"/>
          </rPr>
          <t>mmmadrid:</t>
        </r>
        <r>
          <rPr>
            <sz val="9"/>
            <rFont val="Tahoma"/>
            <family val="2"/>
          </rPr>
          <t xml:space="preserve">
Validador RIPS (Validación de los Registros Individuales RIPS mensual (1))
</t>
        </r>
      </text>
    </comment>
    <comment ref="K36" authorId="0">
      <text>
        <r>
          <rPr>
            <b/>
            <sz val="9"/>
            <rFont val="Tahoma"/>
            <family val="2"/>
          </rPr>
          <t>sjgomez:</t>
        </r>
        <r>
          <rPr>
            <sz val="9"/>
            <rFont val="Tahoma"/>
            <family val="2"/>
          </rPr>
          <t xml:space="preserve">
suma</t>
        </r>
      </text>
    </comment>
    <comment ref="K37" authorId="0">
      <text>
        <r>
          <rPr>
            <b/>
            <sz val="9"/>
            <rFont val="Tahoma"/>
            <family val="2"/>
          </rPr>
          <t>sjgomez:</t>
        </r>
        <r>
          <rPr>
            <sz val="9"/>
            <rFont val="Tahoma"/>
            <family val="2"/>
          </rPr>
          <t xml:space="preserve">
constante</t>
        </r>
      </text>
    </comment>
    <comment ref="K38" authorId="0">
      <text>
        <r>
          <rPr>
            <b/>
            <sz val="9"/>
            <rFont val="Tahoma"/>
            <family val="2"/>
          </rPr>
          <t>sjgomez:</t>
        </r>
        <r>
          <rPr>
            <sz val="9"/>
            <rFont val="Tahoma"/>
            <family val="2"/>
          </rPr>
          <t xml:space="preserve">
constante</t>
        </r>
      </text>
    </comment>
    <comment ref="K40" authorId="0">
      <text>
        <r>
          <rPr>
            <b/>
            <sz val="9"/>
            <rFont val="Tahoma"/>
            <family val="2"/>
          </rPr>
          <t>sjgomez:</t>
        </r>
        <r>
          <rPr>
            <sz val="9"/>
            <rFont val="Tahoma"/>
            <family val="2"/>
          </rPr>
          <t xml:space="preserve">
constante</t>
        </r>
      </text>
    </comment>
    <comment ref="K41" authorId="0">
      <text>
        <r>
          <rPr>
            <b/>
            <sz val="9"/>
            <rFont val="Tahoma"/>
            <family val="2"/>
          </rPr>
          <t>sjgomez:</t>
        </r>
        <r>
          <rPr>
            <sz val="9"/>
            <rFont val="Tahoma"/>
            <family val="2"/>
          </rPr>
          <t xml:space="preserve">
constante</t>
        </r>
      </text>
    </comment>
    <comment ref="K42" authorId="0">
      <text>
        <r>
          <rPr>
            <b/>
            <sz val="9"/>
            <rFont val="Tahoma"/>
            <family val="2"/>
          </rPr>
          <t>sjgomez:</t>
        </r>
        <r>
          <rPr>
            <sz val="9"/>
            <rFont val="Tahoma"/>
            <family val="2"/>
          </rPr>
          <t xml:space="preserve">
suma</t>
        </r>
      </text>
    </comment>
    <comment ref="K44" authorId="0">
      <text>
        <r>
          <rPr>
            <b/>
            <sz val="9"/>
            <rFont val="Tahoma"/>
            <family val="2"/>
          </rPr>
          <t>sjgomez:</t>
        </r>
        <r>
          <rPr>
            <sz val="9"/>
            <rFont val="Tahoma"/>
            <family val="2"/>
          </rPr>
          <t xml:space="preserve">
constante</t>
        </r>
      </text>
    </comment>
    <comment ref="K45" authorId="0">
      <text>
        <r>
          <rPr>
            <b/>
            <sz val="9"/>
            <rFont val="Tahoma"/>
            <family val="2"/>
          </rPr>
          <t>sjgomez:</t>
        </r>
        <r>
          <rPr>
            <sz val="9"/>
            <rFont val="Tahoma"/>
            <family val="2"/>
          </rPr>
          <t xml:space="preserve">
suma</t>
        </r>
      </text>
    </comment>
    <comment ref="K46" authorId="0">
      <text>
        <r>
          <rPr>
            <b/>
            <sz val="9"/>
            <rFont val="Tahoma"/>
            <family val="2"/>
          </rPr>
          <t>sjgomez:</t>
        </r>
        <r>
          <rPr>
            <sz val="9"/>
            <rFont val="Tahoma"/>
            <family val="2"/>
          </rPr>
          <t xml:space="preserve">
constante</t>
        </r>
      </text>
    </comment>
    <comment ref="K47" authorId="0">
      <text>
        <r>
          <rPr>
            <b/>
            <sz val="9"/>
            <rFont val="Tahoma"/>
            <family val="2"/>
          </rPr>
          <t>sjgomez:</t>
        </r>
        <r>
          <rPr>
            <sz val="9"/>
            <rFont val="Tahoma"/>
            <family val="2"/>
          </rPr>
          <t xml:space="preserve">
constante</t>
        </r>
      </text>
    </comment>
    <comment ref="K48" authorId="0">
      <text>
        <r>
          <rPr>
            <b/>
            <sz val="9"/>
            <rFont val="Tahoma"/>
            <family val="2"/>
          </rPr>
          <t>sjgomez:</t>
        </r>
        <r>
          <rPr>
            <sz val="9"/>
            <rFont val="Tahoma"/>
            <family val="2"/>
          </rPr>
          <t xml:space="preserve">
constante</t>
        </r>
      </text>
    </comment>
    <comment ref="K49" authorId="0">
      <text>
        <r>
          <rPr>
            <b/>
            <sz val="9"/>
            <rFont val="Tahoma"/>
            <family val="2"/>
          </rPr>
          <t>sjgomez:</t>
        </r>
        <r>
          <rPr>
            <sz val="9"/>
            <rFont val="Tahoma"/>
            <family val="2"/>
          </rPr>
          <t xml:space="preserve">
constante</t>
        </r>
      </text>
    </comment>
    <comment ref="L49" authorId="0">
      <text>
        <r>
          <rPr>
            <b/>
            <sz val="9"/>
            <rFont val="Tahoma"/>
            <family val="2"/>
          </rPr>
          <t>sjgomez:</t>
        </r>
        <r>
          <rPr>
            <sz val="9"/>
            <rFont val="Tahoma"/>
            <family val="2"/>
          </rPr>
          <t xml:space="preserve">
constante</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sharedStrings.xml><?xml version="1.0" encoding="utf-8"?>
<sst xmlns="http://schemas.openxmlformats.org/spreadsheetml/2006/main" count="770" uniqueCount="309">
  <si>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</si>
  <si>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</si>
  <si>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</si>
  <si>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</si>
  <si>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</si>
  <si>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</si>
  <si>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</si>
  <si>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</si>
  <si>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</si>
  <si>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</si>
  <si>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</si>
  <si>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</si>
  <si>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</si>
  <si>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</si>
  <si>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</si>
  <si>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</si>
  <si>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</si>
  <si>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</si>
  <si>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</si>
  <si>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</si>
  <si>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</si>
  <si>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</si>
  <si>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</si>
  <si>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</si>
  <si>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</si>
  <si>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</si>
  <si>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</si>
  <si>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</si>
  <si>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</si>
  <si>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</si>
  <si>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</si>
  <si>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</si>
  <si>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</si>
  <si>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</si>
  <si>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</si>
  <si>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Fecha de diligenciamiento:</t>
  </si>
  <si>
    <t>VALOR APROPIACION PRESUPUESTAL</t>
  </si>
  <si>
    <t>VALOR EJECUCIÓN PRESUPUESTAL</t>
  </si>
  <si>
    <t>CLASIFICACIÓN DE LA ACTIVIDAD</t>
  </si>
  <si>
    <t xml:space="preserve">Objetivo Plan Estrategico de la Entidad </t>
  </si>
  <si>
    <t>Componente de Gobernanza y Rectoría</t>
  </si>
  <si>
    <t>Promover la gestión transparente en la Secretaría Distrital de Salud y en las entidades adscritas, mediante el control social, la implementación de estándares superiores de calidad y la implementación de estrategias de lucha contra la corrupción.</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</si>
  <si>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</si>
  <si>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</si>
  <si>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</si>
  <si>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</si>
  <si>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Mantener la certificación de Calidad de la Secretaria Distrital de Salud en las normas técnicas NTCGP 1000: 2009 en ISO 9001.</t>
  </si>
  <si>
    <t xml:space="preserve">Implementar el 100% de los Subsistemas que componen el Sistema Integrado de la Gestión a nivel Distrital, al 2016. </t>
  </si>
  <si>
    <t>X</t>
  </si>
  <si>
    <t xml:space="preserve">Cumplimiento oportuno de las acciones de Acreditación que sean requeridas desde la Dirección de Planeación y Sistemas durante el periodo. </t>
  </si>
  <si>
    <t>Implementar oportunamente  los  planes  de mejoramiento de Acreditación en Salud de los distintos grupos de estandares</t>
  </si>
  <si>
    <t>Gestión oportuna de las acciones  que garanticen la sostenibilidad del  Sistema de Gestión de Calidad y el mantenimiento de la certificación lograda, acorde con las Directrices que emita la Dirección de Planeacion y Sistemas.</t>
  </si>
  <si>
    <t>Gestión oportuna de las acciones  que garanticen el desarrollo del  Sistema  Integrado de Gestión, acorde con las Directrices que emita la Dirección de Planeacion y Sistemas</t>
  </si>
  <si>
    <t xml:space="preserve">Porcentaje de cumplimiento de las acciones generales de Acreditación durante el periodo. </t>
  </si>
  <si>
    <t>Porcentaje de cumplimiento de los planes de mejora de estándares de acreditación en salud</t>
  </si>
  <si>
    <t>Porcentaje de cumplimiento en la implementación de las acciones de sostenibilidad del Sistema de Gestión de Calidad</t>
  </si>
  <si>
    <t>Porcentaje de cumplimiento en la implementación de las acciones para el  desarrollo del Sistema Integrado de Gestión.</t>
  </si>
  <si>
    <t>Fortalecimiento de la Gestión y Planeación para la Salud</t>
  </si>
  <si>
    <t>Generar los procesos integrales de planificación y gestión con los actores internos y externos al sector salud para el cumplimiento de los compromisos de ciudad incorporados en el Plan Territorial de Salud para Bogotá, D.C 2012 a 2016 y del Plan de Desarrollo Bogotá Humana para el mismo período.</t>
  </si>
  <si>
    <t>Programado 2015</t>
  </si>
  <si>
    <t>Ejecutado
2015</t>
  </si>
  <si>
    <t>03</t>
  </si>
  <si>
    <t>"Una Bogotá que defiende y fortalece lo público"</t>
  </si>
  <si>
    <t>Implementar y mantener el sistema integrado de gestión, orientado al logro de la acreditación como dirección territorial de salud, en el marco del mejoramiento continuo.</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</si>
  <si>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</si>
  <si>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x</t>
  </si>
  <si>
    <t>% de avance en las etapas para el mantenimiento de la certificación de la SDS</t>
  </si>
  <si>
    <t>% de avance en la  implementación de los subsistemas del sistema integrado de gestión</t>
  </si>
  <si>
    <t xml:space="preserve"> Gobernanza y Rectoría</t>
  </si>
  <si>
    <t xml:space="preserve">Generar las condiciones necesarias para la garantía del derecho a la salud de toda la población de Bogotá, a través de la gobernanza y rectoría basada en las políticas publicas concertadas con los diferentes sectores y de la vigilancia y control efectivo del cumplimiento de las obligaciones de los diferentes actores del Sistema General de Seguridad Social en Salud. </t>
  </si>
  <si>
    <t>Formular, implementar y realizar seguimiento de los planes, programas, proyectos y presupuestos  del sector público de la salud de Bogotá.</t>
  </si>
  <si>
    <t>Número de planes de largo mediano y corto plazo formulados e implementados</t>
  </si>
  <si>
    <t>Nombre de la Direción u Oficina:  DIRECCIÓN PLANEACIÓN INSTITUCIONAL Y CALIDAD</t>
  </si>
  <si>
    <t xml:space="preserve">Diseño ejecución e implementación de lineamientos y directrices institucionales para la sostenibilidad y mejora continua del SGC </t>
  </si>
  <si>
    <t>Monitoreo en las direcciones el cumplimiento de los lineamientos para el mantenimiento y  mejoramiento del  Sistema de Gestión de Calidad institucional.</t>
  </si>
  <si>
    <t xml:space="preserve">Asesoría y asistencia técnica a las dependencias de la SDS en la formulación de las acciones de mejora para la sostenibilidad del  SGC </t>
  </si>
  <si>
    <t>% de avance de lineamientos institucionales para la sostenibilidad y mejora continua del SGC</t>
  </si>
  <si>
    <t>%  de cumplimiento de las actividades realizadas por las direcciones</t>
  </si>
  <si>
    <t>Número de asesorías y asistencias técnicas en SGC</t>
  </si>
  <si>
    <t xml:space="preserve">Planeación de las actividades para la implementación de los subsistemas del SIG </t>
  </si>
  <si>
    <t xml:space="preserve">Asesoría y  asistencia técnica  en la ejecución de  las actividades para la implementación de los subsistemas que componente el sistema Integrado de Gestión </t>
  </si>
  <si>
    <t xml:space="preserve">Monitoreo a  la ejecución de  las actividades programadas para las direcciones en la implementación de los subsistemas que componente el sistema Integrado de Gestión </t>
  </si>
  <si>
    <t xml:space="preserve">Desarrollar procesos pedagógicos para  fortalecer la cultura de gestión y control  en la SDS </t>
  </si>
  <si>
    <t>Garantizar la sostenibilidad, mejoramiento continuo e integración de los sistemas de gestión y control</t>
  </si>
  <si>
    <t>Lograr la certificación de los sistemas de gestión y control</t>
  </si>
  <si>
    <t xml:space="preserve">Ejecutar las actividades para implementar y mejorar el el Subsistema de Seguridad y Salud en el Trabajo </t>
  </si>
  <si>
    <r>
      <t xml:space="preserve">Ejecutar las actividades para implementar y mejorar el Subssitema de Seguridad de la Información  </t>
    </r>
  </si>
  <si>
    <t xml:space="preserve">Ejecutar las actividades para implementar y mejorar el Subsistema de Control Interno             </t>
  </si>
  <si>
    <t xml:space="preserve">Ejecutar las actividades para implementar y mejorar el Subsistema de Gestión Ambiental  </t>
  </si>
  <si>
    <t xml:space="preserve">Ejecutar las actividades para implementar y mejorar de Subsistema de Gestión Documental </t>
  </si>
  <si>
    <t xml:space="preserve">Ejecutar las actividades para implementar y mejorar el Subsistema de Responsabilidad Social </t>
  </si>
  <si>
    <t xml:space="preserve">Plan anual del Sistema Integrado de Gestión formalizado </t>
  </si>
  <si>
    <t xml:space="preserve">Número de asesorías y asistencias técnicas en SIG </t>
  </si>
  <si>
    <t xml:space="preserve">Porcentaje de cumplimiento de las actividades desarrolladas 
</t>
  </si>
  <si>
    <t xml:space="preserve">Porcentaje de cumplimiento de la actividad desarrollada 
</t>
  </si>
  <si>
    <t>Numero de acciones implementadas en el periodo para el cumplimiento de las estrategias de mejoramiento</t>
  </si>
  <si>
    <t>Porcentaje de avance en la implementación del Susbsistema de Seguridad y Salud en el Trabajo</t>
  </si>
  <si>
    <t>Porcentaje de avance en la implementación del  Susbsistema de Seguridad de la Información</t>
  </si>
  <si>
    <t>Porcentaje de avance en la implementación del Susbsistema de Control Interno</t>
  </si>
  <si>
    <t>Porcentaje de avance en la implementación del Susbsistema de Gestión Ambiental</t>
  </si>
  <si>
    <t>Porcentaje de avance en la implementación del  Susbsistema de Gestión Documental</t>
  </si>
  <si>
    <t>Porcentaje de avance en la implementación del Susbsistema de Responsabilidad Social</t>
  </si>
  <si>
    <t xml:space="preserve">Realizar seguimiento a los Planes Operativos Anuales definidos por las dependencias acorde con el Plan de Gestión. </t>
  </si>
  <si>
    <t xml:space="preserve">Desarrollar las actividades programadas para estructurar el proceso de planeación institucional. </t>
  </si>
  <si>
    <t>Porcentaje de cumplimiento en el seguimiento y publicación de planes operativos anuales</t>
  </si>
  <si>
    <t>Porcentaje de cumplimiento en el desarrollo de actividades para estructurar el proceso de planeación institucional</t>
  </si>
  <si>
    <t xml:space="preserve">Se documentan las aclaraciones sobre la metodología de seguimiento al POA 2015 y se socializa por correo electrónico a los referentes de cada dependencia. De igual manera, se revisan las matrices de seguimiento POA de los meses abril – mayo reportadas a la fecha por las dependencias, se publican los seguimientos de la Subsecretaría de Salud Pública, se remiten observaciones de ajuste a la Dirección Financiera, se reitera a la Subsecretaría de Gestión Territorial, Participación y Servicio a la Ciudadanía y Dirección Análisis de Entidades Públicas el envío del seguimiento de los meses marzo a mayo. (Soporte: Utilidades / Dir. Planeación y sistemas / Dir. Planeación institucional y calidad / Seguimiento POA). Se solicita la entrega del reporte del mes de mayo el día 03/06/15.
Se brinda asesoría a la Dirección de Análisis de Entidades Públicas en relación con la metodología de formulación y reporte del POA. (05/06/15).
Se revisan indicadores transversales del SIG y reformularlos para que sean incluidos en el POA de todas las dependencias a partir de Julio 2015. </t>
  </si>
  <si>
    <t xml:space="preserve">Documento de aclaraciones de la metodología de seguimiento al POA 2015.
Matrices de seguimiento POA Abril - mayo  publicadas en carpeta Utilidades / Dir. Planeación y sistemas / Dir. Planeación institucional y calidad / Seguimiento POA. 
Indicadores transversales del SIG  revisados y reformularlos para que sean incluidos en el POA de todas las dependencias a partir de Julio 2015. 
</t>
  </si>
  <si>
    <t>Evitar que las dependencias que tienen a cargo proyectos de inversión no deban duplicar la información que reportan en matriz de SEGPLAN en la matriz del POA. 
Mejoras en la metodología de reporte del POA y su articulación con SEGPLAN.
Asesoria y asistencia técnica permanente para el reporte del POA.</t>
  </si>
  <si>
    <t>Seguimiento a partir de julio 2015</t>
  </si>
  <si>
    <t>Se presenta el documento con observaciones de ajuste a las funciones de la Dirección de Planeación Institucional y Calidad. (Soporte: correo enviado a toda la DPIYC el día 01/06/15).
Con base en el Decreto 507 de 2014 (Funciones), se prepara documento que compara las funciones establecidas tanto para la Dirección de Planeación Institucional y Calidad y las de Planeación Sectorial, el cual es presentado al Dr. Orlando Rodríguez el día 01/06/15. Se programa nuevamente reunión para el día 22/06/15.
Se realiza revisión del plan de trabajo del proceso planeación institucional y se reasignan los responsables para algunas de las actividades, teniendo en cuenta que se vincula a la Dirección de Planeación Institucional una funcionaria de planta por movimientos de carrera administrativa.</t>
  </si>
  <si>
    <r>
      <rPr>
        <b/>
        <sz val="9"/>
        <rFont val="Arial"/>
        <family val="2"/>
      </rPr>
      <t>DIRECCIÓN DE PLANEACIÓN Y SISTEMAS</t>
    </r>
    <r>
      <rPr>
        <sz val="9"/>
        <rFont val="Arial"/>
        <family val="2"/>
      </rPr>
      <t xml:space="preserve">
</t>
    </r>
    <r>
      <rPr>
        <b/>
        <sz val="9"/>
        <rFont val="Arial"/>
        <family val="2"/>
      </rPr>
      <t>SISTEMA INTEGRADO DE GESTIÓN</t>
    </r>
    <r>
      <rPr>
        <sz val="9"/>
        <rFont val="Arial"/>
        <family val="2"/>
      </rPr>
      <t xml:space="preserve">
CONTROL DOCUMENTAL
</t>
    </r>
    <r>
      <rPr>
        <b/>
        <sz val="9"/>
        <color indexed="8"/>
        <rFont val="Arial"/>
        <family val="2"/>
      </rPr>
      <t xml:space="preserve">SEGUIMIENTO A METAS PROYECTOS DE INVERSIÓN
</t>
    </r>
    <r>
      <rPr>
        <b/>
        <sz val="9"/>
        <color indexed="10"/>
        <rFont val="Arial"/>
        <family val="2"/>
      </rPr>
      <t xml:space="preserve">  </t>
    </r>
    <r>
      <rPr>
        <sz val="9"/>
        <color indexed="8"/>
        <rFont val="Arial"/>
        <family val="2"/>
      </rPr>
      <t xml:space="preserve">
</t>
    </r>
    <r>
      <rPr>
        <b/>
        <sz val="9"/>
        <color indexed="8"/>
        <rFont val="Arial"/>
        <family val="2"/>
      </rPr>
      <t>Código:</t>
    </r>
    <r>
      <rPr>
        <sz val="9"/>
        <color indexed="8"/>
        <rFont val="Arial"/>
        <family val="2"/>
      </rPr>
      <t xml:space="preserve"> 114 - PLI - FT -  062 V.01</t>
    </r>
  </si>
  <si>
    <t>Elaborado por: 
Mario Ivan Albarracin Navas
Sandra Gomez Gomez
Revisado por: 
Gabriel Lozano Diaz
Aprobado por: 
Martha Liliana Cruz B
Control documental:
Planeación y Sistemas  
 Grupo –   SIG</t>
  </si>
  <si>
    <r>
      <rPr>
        <b/>
        <sz val="9"/>
        <color indexed="8"/>
        <rFont val="Arial"/>
        <family val="2"/>
      </rPr>
      <t>DIRECCIÓN DE PLANEACIÓN Y SISTEMAS</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 METAS PROYECTOS DE INVERSIÓN</t>
    </r>
    <r>
      <rPr>
        <sz val="9"/>
        <color indexed="8"/>
        <rFont val="Arial"/>
        <family val="2"/>
      </rPr>
      <t xml:space="preserve">
</t>
    </r>
    <r>
      <rPr>
        <b/>
        <sz val="9"/>
        <color indexed="8"/>
        <rFont val="Arial"/>
        <family val="2"/>
      </rPr>
      <t xml:space="preserve">Código: </t>
    </r>
    <r>
      <rPr>
        <sz val="9"/>
        <color indexed="8"/>
        <rFont val="Arial"/>
        <family val="2"/>
      </rPr>
      <t>114 - PLI - FT -  062 V.01</t>
    </r>
  </si>
  <si>
    <t xml:space="preserve">EJE ESTRATÉGICO DEL PLAN DE DESARROLLO BOGOTA HUMANA 2012-2016: UNA BOGOTA EN DEFENSA Y FORTALECIMIENTO DE LO PUBLICO </t>
  </si>
  <si>
    <t>EJE ESTRATÉGICO DEL PLAN TERRITORIAL DE SALUD PARA BOGOTÁ 2012-2016: COMPONENTE DE GOBERNANZA Y RECTORÍA</t>
  </si>
  <si>
    <t>PROGRAMA DEL PLAN DE DESARROLLO BOGOTA HUMANA 2012-2016:  BOGOTA DECIDE Y PROTEGE EL DERECHO FUNDAMENTAL A LA SALUD PUBLICA</t>
  </si>
  <si>
    <t>PROYECTO DE INVERSIÓN DEL PLAN DE DESARROLLO BOGOTA HUMANA 2012-2016:  FORTALECIMIENTO DE LA GESTIÓN Y PLANEACIÓN PARA LA SALUD</t>
  </si>
  <si>
    <t>NUMERO
META
SEGPLAN</t>
  </si>
  <si>
    <t>PROYECTO</t>
  </si>
  <si>
    <t>VALOR APROPIACIÓN</t>
  </si>
  <si>
    <t>DIFICULTADES</t>
  </si>
  <si>
    <t>TIPO DE POBLACIÓN</t>
  </si>
  <si>
    <t>Menores a 1 año</t>
  </si>
  <si>
    <t>1 a 5 AÑOS</t>
  </si>
  <si>
    <t>6 A 13 AÑOS</t>
  </si>
  <si>
    <t>14 A 17 AÑOS</t>
  </si>
  <si>
    <t xml:space="preserve">18 A 26 AÑOS </t>
  </si>
  <si>
    <t>27 A 59 AÑOS</t>
  </si>
  <si>
    <t>60 Y MAS</t>
  </si>
  <si>
    <t>TOTAL</t>
  </si>
  <si>
    <t>META</t>
  </si>
  <si>
    <t>Eje 
Estructurante</t>
  </si>
  <si>
    <t>Eje</t>
  </si>
  <si>
    <t>Objetivo</t>
  </si>
  <si>
    <t>Meta</t>
  </si>
  <si>
    <t>Ejecutado 2015</t>
  </si>
  <si>
    <t>Hombres</t>
  </si>
  <si>
    <t>Mujeres</t>
  </si>
  <si>
    <t>e04o01m01</t>
  </si>
  <si>
    <t>e04o01m01-617</t>
  </si>
  <si>
    <t xml:space="preserve">Promoción  Social </t>
  </si>
  <si>
    <t>04</t>
  </si>
  <si>
    <t>01</t>
  </si>
  <si>
    <t>Construir y poner en funcionamiento el 100% del sistema de Análisis y Evaluación y Políticas de Salud para el Distrito Capital como base para la formulación y ajuste de planes, programas y proyectos, al 2016.</t>
  </si>
  <si>
    <t xml:space="preserve">Porcentaje de  construcción e implementación del Sistema integral de análisis y evaluación de políticas de salud
</t>
  </si>
  <si>
    <r>
      <rPr>
        <b/>
        <sz val="9"/>
        <color indexed="8"/>
        <rFont val="Arial Narrow"/>
        <family val="2"/>
      </rPr>
      <t>JUNIO</t>
    </r>
    <r>
      <rPr>
        <sz val="9"/>
        <color indexed="8"/>
        <rFont val="Arial Narrow"/>
        <family val="2"/>
      </rPr>
      <t>:
1) Se construyó documento de ficha técnica para evaluación de impacto de políticas públicas, en el cual se incluyó apartado relacionado con la identificación de la cadena de valor (productos y resultados) que se comporta como insumo para el análisis de políticas públicas.
2) Se incorporó al normograma la Resolución 1868 de 2015 en relación con cáncer y la Ley 1752 de 2015, relacionada con discapacidad. También se agregó la Ley 1753 de 2015 sobre el Plan Nacional de Desarrollo 2014-2018. Se elaboró ficha técnica para evaluación de políticas públicas y se envió taller de planes de acción a las referentes de salud mental, salud oral, infecciones intrahospitalarias y calidad de vida de los trabajadores. Se realizó socialización con el grupo de interdirecciones de políticas públicas de la ley 1753 por la cual se adopta el Plan Nacional de Desarrollo Todos por un nuevo país 2014-2018 y la Resolución 1868 de 2015 respectivamente.
3) Se canalizó a través de los referentes del grupo de políticas, los proyectos de Ley que inciden en salud, hacia los referentes técnicos que manejan tales temas.
4) Se trabajó con la Subdirección de Evaluación y Gestión de Políticas Públicas en la revisión de la Ley 1753 de 2015.
5) De manera conjunta con la Subsecretaría de Salud Pública se realizan y consolida la matriz que contiene los 36 indicadores que dan cuenta de la gestión de la SDS para la implementación de la Política de Infancia y Adolescencia y los 10 indicadores de Juventud. Se presenta el comportamiento de dicho indicadores para las vigencias 2012-2014 así como el análisis de su comportamiento.</t>
    </r>
  </si>
  <si>
    <r>
      <t xml:space="preserve">HASTA JUNIO:
</t>
    </r>
    <r>
      <rPr>
        <sz val="9"/>
        <color indexed="8"/>
        <rFont val="Arial Narrow"/>
        <family val="2"/>
      </rPr>
      <t>1) Se incorporó en el Sistema de información de Procesos Automáticos -SIPA de la Dirección de Diversidad Sexual de la Secretaría Distrital de Planeación, seguimiento al último trimestre del año 2014.
2) De manera conjunta con los profesionales de la Subsecretaría de Salud Pública, se construye el documento de lineamientos para la vigencia 2015, dirigidos a los equipos territoriales para la implementación del Programa de Atención Integral a la Primera Infancia: “Ser feliz Creciendo Feliz”. 
3) Se realiza de manera conjunta con los profesionales de vigilancia de Salud Pública, la revisión y aportes al documento “Análisis situacional de Política de Infancia y Adolescencia”, que se está construyendo a nivel distrital, con el fin de evaluar y hacer seguimiento de la implementación de la Política de Infancia y adolescencia en el Distrito.
4) Se revisa y retroalimenta la información que entrega la Secretaría de Integración Social respecto a los indicadores que dan cuenta de la situación de salud de los niños, niñas y adolescentes desde el año 2008 a 2014, los cuales hacen parte del soporte del documento “Análisis situacional de Política de Infancia y Adolescencia”.
5) Se realiza y entrega para revisión de Directora de Planeación Sectorial el Informe de Gestión y Cierre Presupuestal de Infancia y Adolescencia correspondiente a la vigencia 2014.
6) Se logra realizar matriz de seguimiento a la Política Pública de Infancia Adolescencia 2012 a 2014 y proyección presupuestal 2015-2016, entregada a la Secretaría Distrital de Planeación.
7) Se logra realizar Informe de inversión y gestión desarrollada por el Sector Salud para los niños y niñas de 0-5 años, en el marco del Programa de Atención Integral a la Primera Infancia 2012-2014.
8) Se logra realizar documento y presentación para el Debate sobre atención [inversión y gestión] Primera Infancia en el Concejo de Bogotá.
9) Documento e Informe sobre la Gestión en la Inversión del Sector salud en la Primera Infancia Vigencias 2012-2014, para dar respuesta a la Proposición 127 emitida por el Concejo de Bogotá con radicado N° 2015ER25432-O1 del 30 de marzo de 2015.
10) Documento de Análisis de oportunidades, amenazas, debilidades e incidencias en la norma relacionada con salud. 
11) Propuesta del contenido del boletín de comunicación
12) Actualización de Inventario con fecha al mes de mayo en Isolución, listo para dar cuenta a los entes de control y apoyar el seguimiento interno
13) Actualización del normograma del proceso de Políticas en Salud.
14) Consolidación de 36 indicadores que dan cuenta de la gestión de la SDS para la implementación de la Política de Infancia y Adolescencia y los 10 indicadores de Juventud. Se presenta el comportamiento de dicho indicadores para las vigencias 2012-2014 así como el análisis de su comportamiento.</t>
    </r>
  </si>
  <si>
    <r>
      <rPr>
        <b/>
        <sz val="9"/>
        <color indexed="8"/>
        <rFont val="Arial Narrow"/>
        <family val="2"/>
      </rPr>
      <t>HASTA JUNIO:</t>
    </r>
    <r>
      <rPr>
        <sz val="9"/>
        <color indexed="8"/>
        <rFont val="Arial Narrow"/>
        <family val="2"/>
      </rPr>
      <t xml:space="preserve">
1 - Incorporado en el Sistema de información de Procesos Automáticos -SIPA de la Dirección de Diversidad Sexual de la Secretaría Distrital de Planeación, seguimiento al último trimestre del año 2014.
2 - Documento “Lineamientos 2015 para la implementación del Programa de Atención Integral a la Primera Infancia: “Ser feliz Creciendo Feliz”, dirigido a los equipos territoriales.
3 - Documento “Análisis situacional de Política de Infancia y Adolescencia”, revisado y entregado a la Secretaría de Integración Social.
4 - Indicadores de la situación de salud de los niños, niñas y adolescentes 2008-2014.
5 - Informe de gestión y cierre presupuestal de infancia y adolescencia correspondiente a la vigencia 2014
6- Matriz de seguimiento a la Política Pública de Infancia Adolescencia 2012 a 2014 y proyección presupuestal 2015-2016, entregada a la SDP.
7-Documento Informe de inversión y gestión desarrollada por el Sector Salud para los niños y niñas de 0-5 años, en el marco del Programa de Atención Integral a la Primera Infancia 2012-2014.
8-Documento y presentación para el Debate sobre atención [inversión y gestión] Primera Infancia en el Concejo de Bogotá.
9-Informe sobre la gestión en la inversión del sector salud en la primera infancia vigencias 2012-2014, para dar respuesta a la Proposición 127 emitida por el Concejo de Bogotá con No de radicado 2015ER25432-O1 del 30 de marzo de 2015.
10- Documento con las observaciones realizadas a las filas 1,2, 5, 8, 9, 11, 14, 15 y 16 del anexo enviado por la Secretaría Distrital de Salud y evaluado por el Ministerio de Salud y Protección Social.
11-Oportunidad en la consulta e implementación de las normas del proceso de Políticas en Salud.
12-La SDS cuenta con 36 indicadores que dan cuenta de la gestión de la implementación de la Política de Infancia y Adolescencia y los 10 indicadores de Juventud. 
</t>
    </r>
  </si>
  <si>
    <t>DESPLAZADOS INDÍGENAS</t>
  </si>
  <si>
    <t>DESPLAZADOS ROM</t>
  </si>
  <si>
    <t>DESPLAZADOS AFRODESCENDIENTES</t>
  </si>
  <si>
    <t>DESPLAZADOS RAIZAL</t>
  </si>
  <si>
    <t>DESPLAZADOS PALENQUERO</t>
  </si>
  <si>
    <t>DESPLAZADOS (OTROS)</t>
  </si>
  <si>
    <t>TOTAL DESPLAZADOS</t>
  </si>
  <si>
    <t>DESPLAZADOS CABEZA DE FAMILIA</t>
  </si>
  <si>
    <t>INDÍGENAS</t>
  </si>
  <si>
    <t>ROM</t>
  </si>
  <si>
    <t>AFRODESCENDIENTES</t>
  </si>
  <si>
    <t>RAIZAL</t>
  </si>
  <si>
    <t>PALENQUERO</t>
  </si>
  <si>
    <t>NINGUNO DE LOS ANTERIORES</t>
  </si>
  <si>
    <t>TOTAL DE LA POBLACIÓN</t>
  </si>
  <si>
    <t>POBLACIÓN VINCULADA</t>
  </si>
  <si>
    <t>e04o01m02</t>
  </si>
  <si>
    <t>e04o01m02-617</t>
  </si>
  <si>
    <t>02</t>
  </si>
  <si>
    <t xml:space="preserve">Formular y Gestionar 20 planes locales armonizados a las políticas públicas en salud, Plan de Desarrollo Distrital y necesidades de los territorios en el Distrito Capital. </t>
  </si>
  <si>
    <t>Numero de planes locales armonizados a las políticas públicas de salud.
Número de planes locales gestionados</t>
  </si>
  <si>
    <r>
      <rPr>
        <b/>
        <sz val="8"/>
        <color indexed="8"/>
        <rFont val="Arial Narrow"/>
        <family val="2"/>
      </rPr>
      <t xml:space="preserve">JUNIO: </t>
    </r>
    <r>
      <rPr>
        <sz val="8"/>
        <color indexed="8"/>
        <rFont val="Arial Narrow"/>
        <family val="2"/>
      </rPr>
      <t xml:space="preserve">
Se realizó asesoría y asistencia técnica en seguimiento de proyectos de inversión local de salud a las localidades en los proyectos que se relacionan a continuación: 
Ciudad Bolivar 2014: Promoción y Prevención sensibilización en derechos sexuales y reproductivos con los y las adolescentes y jóvenes de la localidad 19 de Ciudad Bolivar; Atención a personas en condición de discapacidad física y cognitiva de la localidad 19 de Ciudad Bolivar.
Usme: componente de ayudas técnicas: visitas domiciliarias de vigencias 2012-2013.
Puente Aranda vigencia 2014: Componente de Salud Oral: El contrato de suministros para la compra y entrega de los Kit orales se realizó la entrega al Almacén, está pendiente reiniciar el contrato de las actividades educativas después del receso escolar de mitad de año.
Componente de Ayudas Técnicas: CIA 049/2014. El proceso de contratación del proveedor se encuentra en página pero se declara desierto porque el proveedor seleccionado no cumplió con las solicitudes realizadas al momento de la contratación. Se inicia nuevamente proceso. 
Kennedy: Componente de Salud mental, Salud Nutricional y Banco de ayudas Técnicas (PyP) CIA 126/13 - Adición 2014: Al mes de Junio se han realizado 6 emisiones de las contratadas. Se inicia el proceso de toma de medidas para las ayudas técnica a entregar. 
Componente de control de vectores: Se realiza el ingreso al almacén de la Alcaldía de insumos. Se lograron consolidar 18 focos con un total de 107.000 metros cuadrados. Se realizan la fumigación y desratización de manera simultánea. 
Fontibón: Componente Ámbito Escolar: CIA 181/2014: Durante el mes se realizan talleres de salud oral a 35 grupos, Se realizan en infancia 35 grupos en salud mental y prevención de consumo de SPA, en adolescentes 17 grupos en salud mental y prevención del consumo de SPA. 1 grupo de padres de familia, 2 grupos de docentes, se pueden realizar dos grupos de autoayuda. 
Componente de Control de vectores: CIA 179/2014. Se realizan 310 visitas de diagnóstico y se han realizado 16.500 metros de desratización. 
Componente de Salud sexual y reproductiva: CIA 177/2014. Las actividades tienen una suspensión por el receso de vacaciones tanto en las Instituciones Educativas como en las Fundaciones y organizaciones para los grupos de ciclos vitales.
Componente Ayudas Técnicas: CIA 178/2014: Se han realizado 62 visitas efectivas de verificación y prescripción, para un total hasta mayo de 123 visitas efectivas.
En etapa de formulación para la vigencia 2015, segunda revisión con ajustes de Anexos Técnicos en la localidad de Fontibón en los componentes de: Ayudas Técnicas y Vectores, quedando ajustados y listos para solicitud de Concepto Técnico. Se revisa la posibilidad de formular el componente de Ayudas Técnicas con la localidad de Sumapaz.
Puente Aranda, Kennedy y Fontibón se continúa con espacios establecidos de Comité Técnico de seguimiento por componente. Se realiza acompañamiento a los comités técnicos del componente de ayudas Técnicas de las localidades de Ciudad Bolivar y Antonio Nariño
Localidad de Mártires: Se realizan mesas de trabajo conjunto para adelantar la asesoría y asistencia técnica para la formulación del Proyecto No. 970 PGI: Ambiente Saludable. Componente: Prevención e intervención de focos para el control de plagas y vectores y "Proyecto No. 967 PGI: Promoción y prevención de la salud. Componentes: 1) Entrega de Ayudas Técnicas; 2) Salud Oral; 3) Ruta de la salud".
para la vigencia 2015.
Localidad de Santa Fe: Se realizan mesas de trabajo conjunto para adelantar la asesoría y asistencia técnica en el proceso de actualización de concepto técnico para la adición con recursos de vigencia 2015 y prorroga de los Convenios Interactivos 075-2014, 076-2014 y 077-2014 para la implementación de los proyectos No. 1149 Santafé con salud para todos y todas. Componentes: Rutas Saludables, Acciones integrales en salud, Banco de Ayudas Técnicas respectivamente.
Participación en espacios intersectoriales convocados para realizar el seguimiento a los proyectos de inversión local en salud formulados para las vigencias 2013 y 2014 que se encuentran en ejecución en las localidades de Mártires, Santa Fe, Candelaria, Rafael Uribe Uribe, Antonio Nariño y Teusaquillo.
Realización del proceso de asesoría y asistencia técnica en la ejecución de convenios/contratos de proyectos de inversión local en salud suscritos para las vigencias 2013 y 2014 de las localidades de Candelaria, Santafé, Mártires, Rafael Uribe Uribe y Antonio Nariño.</t>
    </r>
  </si>
  <si>
    <r>
      <rPr>
        <b/>
        <sz val="8"/>
        <color indexed="8"/>
        <rFont val="Arial Narrow"/>
        <family val="2"/>
      </rPr>
      <t xml:space="preserve">HASTA JUNIO: </t>
    </r>
    <r>
      <rPr>
        <sz val="8"/>
        <color indexed="8"/>
        <rFont val="Arial Narrow"/>
        <family val="2"/>
      </rPr>
      <t xml:space="preserve">
Ciudad Bolivar: En la Fase de Alistamiento se adelantó proceso de perfeccionamiento con la Fundación un Nuevo amanecer, quedando legalizado el día 02 de junio de 2015. Presentación pública del proyecto el día 25 de Junio de 2015.
Atención a personas en condición de discapacidad física y cognitiva de la localidad 19 de Ciudad Bolivar: El 18 de Junio de 2015 se realizó visita de reconocimiento a la Granja del Parque Mundo Aventura a fin de obtener aval para llevar a cabo las sesiones de hipoterapia. El día 24 de Junio de 2015 la firma interventora realizó algunas recomendaciones con relación a la base de datos a manejar en el proyecto, así: revisar el diagnostico (los tipos de discapacidad), para que este espacio se discrimine de tal manera, con la última actualización del concepto de discapacidad. Tener en cuenta el tipo de población que se va atender y pueda llegar al convenio para que no quede por fuera del formato.
Promoción y Prevención sensibilización en derechos sexuales y reproductivos con los y las adolescentes y jóvenes de la localidad 19 de Ciudad Bolivar: El día 22 de Junio se realizó visita de reconocimiento a las tres IPS presentadas por el ejecutor: Centro Medico Los Ángeles, Universidad Distrital francisco Jose de Caldas y unidad Médica Medisalud.
Usme: componente de ayudas técnicas: a la fecha se han entregado 130 de las 400 programadas, se determinó asignar una ayuda por usuario debió al recorte del presupuesto por parte del FDL.
salud Oral: Este proyecto estaba para finalización en el mes de septiembre, pero debido a la acogida del mismo y el oportuno cumplimiento en las tareas finalizo al 100% el día 27 de junio quedando pendiente la radicación del informe final en la alcaldía y en la Secretaria de salud.
Promoción y Prevención: El proyecto finalizo en el mes de Junio dejando pendiente la radicación del informe final en la alcaldía y en la Secretaria de salud.
Localidad de Kennedy: CIA 127 Control Vectores: Se reinicia el componente para la intervención de los 18 focos priorizados.
Se tienen al día las formulaciones de Vigencia 2015 con las localidades de: Kennedy, Puente Aranda y Fontibón.
</t>
    </r>
    <r>
      <rPr>
        <sz val="8"/>
        <color indexed="62"/>
        <rFont val="Arial Narrow"/>
        <family val="2"/>
      </rPr>
      <t>Mártires:  Se mantiene las líneas de inversión en salud, emitidas por Secretaria de Gobierno.
Incorporación dentro de los proyectos de inversión local en salud integral y salud ambiental presentados por la localidad para formulación de vigencia 2015. El Fondo de Desarrollo Local de Mártires, radica documentos ajustados y concertados en mesas de trabajo con solicitud de emisión de concepto técnico por parte de la Secretaria Distrital de Salud para los proyectos de inversión local en salud Nos 970 y 967. 
Santa Fe:  Se realiza retroalimentación en mesas de trabajo virtual, sobre Anexos Técnicos de actualización y adición de recursos vigencia 2015 en el proceso de formulación de los componentes de: Rutas Saludables, Acciones integrales en salud, Banco de Ayudas Técnicas</t>
    </r>
    <r>
      <rPr>
        <sz val="8"/>
        <color indexed="8"/>
        <rFont val="Arial Narrow"/>
        <family val="2"/>
      </rPr>
      <t xml:space="preserve">.
</t>
    </r>
    <r>
      <rPr>
        <sz val="8"/>
        <color indexed="62"/>
        <rFont val="Arial Narrow"/>
        <family val="2"/>
      </rPr>
      <t>Acompañamiento técnico en el proceso de seguimiento a los convenios y contratos suscritos por los Fondos de Desarrollo Local para la implementación de los proyectos de inversión local en salud con recursos de las vigencia 2013 y 2014 que cuentan con aval de la SDS desde su proceso de formulación.</t>
    </r>
  </si>
  <si>
    <r>
      <rPr>
        <b/>
        <sz val="8"/>
        <rFont val="Arial Narrow"/>
        <family val="2"/>
      </rPr>
      <t xml:space="preserve">JUNIO: 
</t>
    </r>
    <r>
      <rPr>
        <sz val="8"/>
        <rFont val="Arial Narrow"/>
        <family val="2"/>
      </rPr>
      <t>Se realizó asesoría y asistencia técnica en seguimiento, y monitoreo de proyectos de inversión local de salud a las localidades en los proyectos vigencia 2014 en ejecución 2015 que se relacionan a continuación:
Ciudad Bolivar: 2014 Promoción y Prevención sensibilización en derechos sexuales y reproductivos con los y las adolescentes y jóvenes de la localidad 19 de Ciudad Bolivar lleva un 0,30% en avance físico y 1,88% en financiero.
Atención a personas en condición de discapacidad física y cognitiva de la localidad 19 de Ciudad Bolivar tiene un avance de 1,68% en físico y 2,37% en financiero.
Usme: 2014 Banco de ayudas técnicas en programático el 71% y financiera 41%. Proyectos de vectores y de promoción y prevención Tiene un porcentaje de ejecución del 100% en avance físico, y financiero. 
Salud Oral: Físico 100% y financiero del 90%.
Puente Aranda: Componente de Salud Oral: El contrato de suministros de insumos se ejecutó al 100%. El contrato de las campañas educativas se encuentra suspendido. 
Componente Ayudas Técnicas: Ejecución Física acumulada a Mayo 15,05%. 
Kennedy: Componente de Salud mental, Salud Nutricional y Banco de ayudas Técnicas (PyP) Vigencia 2013: Ejecución física acumulada 99%. 
Componente de control de vectores: Ejecución física acumulada 70%. Adición Vigencia 2014: Ejecución física acumulada 15%. Fontibón: 
Componente Ámbito Escolar: Ejecución física acumulada 20% 
Componente de Control de vectores: Ejecución física acumulada 15% 
Componente de Salud sexual y reproductiva: Ejecución física acumulada 35%. 
Componente Ayudas Técnicas: Ejecución física acumulada 33%
Se realizan mesas de trabajo para asesoría en la formulación con las localidades de Sumapaz.
Las actividades planeadas por los Fondos de desarrollo local complementan lo establecido desde la Secretaria Distrital de Salud en la dirección de Salud Pública (PIC) y lo que le compete al POS.
Seguimiento a ejecución de proyectos:
Santa Fe: Ortodoncia (49,16%), Salud ambiental SAMA (97,27%) Banco de Ayudas Técnicas (91,73%) Ruta Saludable (56%), Promoción y prevención (28,19%)
COPACO (100%); Candelaria: Tenencia de mascotas (15,42%), Banco de Ayudas Técnicas (90,28%),  Promoción y Prevención (80,85%), Hidroterapia e hipoterapia (7%);  Rafael Uribe Uribe Salud Oral persona adulta (23%),  Banco de Ayudas Técnicas (6,86%), Antonio Nariño:  Salud Sexual y Reproductiva (46%), Salud Oral (16%), Salud Mental (41%)  Banco de Ayudas Técnicas (12%)  Mártires Banco de Ayudas técnicas, Vacunación No POS, Salud oral, Salud Sexual, Programas de atención y formación sexual y reproductiva Prevención de consumo de SPA y Jornadas de esterilización, vacunación, identificación y adopción de caninos y felinos. (6,51%)</t>
    </r>
  </si>
  <si>
    <t>La Localidad de Bosa solicita acompañamiento Técnico al desarrollo de la Vigencia 2014 en el componente de Ayudas Técnicas, aunque no se hizo solicitud formal del concepto Técnico a dos componentes, Ayudas Técnicas contratado con el Hospital Pablo VI Bosa y Subasta inversa para adquirir los elementos directamente por la Alcaldía local de Bosa. 
Teniendo en cuenta los términos para la contratación de proyectos de inversión local en salud formulados con recursos de la vigencia 2015, por la Ley de Garantías y la exigencia de inversión de recursos los Fondos de Desarrollo Local solicitan revisión y emisión de conceptos técnicos de manera inmediata, lo que generó la necesidad de realizar mesas de trabajo conjuntas presenciales con la realización de ajustes en los contenidos y avances en la emisión de conceptos técnicos con el compromiso de oficialización de los mismos a través de su radicación posterior ante la Secretaria Distrital de Salud (Localidad de Mártires, Rafael Uribe, Santa Fe y Candelaria)
Por nueva asignación de las localidades de Teusaquillo y Barrios Unidos, aún no se ha realizado comité de seguimiento para verificación de avances en la ejecución de los proyectos formulados y contratados por estos Fondos de Desarrollo Local. El comité técnico de seguimiento a los proyectos de la localidad de Teusaquillo se encuentra programada para una fecha posterior a la de presentación de este informe. Se espera que para el reporte a presentar en el mes de julio/15 ya se tengan datos sobre este tema.
Se continúa a la espera de solicitud de acompañamiento técnico para sus procesos de formulación, seguimiento y evaluación de proyectos de inversión local en salud de las localidades de San Cristóbal y Barrios Unidos.</t>
  </si>
  <si>
    <t>e04o01m03</t>
  </si>
  <si>
    <t>e04o01m03-617</t>
  </si>
  <si>
    <t>Garantizar el financiamiento del 100% del  Plan Territorial de Salud.</t>
  </si>
  <si>
    <t xml:space="preserve">porcentaje de ejecución presupuestal
</t>
  </si>
  <si>
    <r>
      <rPr>
        <b/>
        <sz val="9"/>
        <color indexed="8"/>
        <rFont val="Arial Narrow"/>
        <family val="2"/>
      </rPr>
      <t>JUNIO</t>
    </r>
    <r>
      <rPr>
        <sz val="9"/>
        <color indexed="8"/>
        <rFont val="Arial Narrow"/>
        <family val="2"/>
      </rPr>
      <t>:
1) Actualización del Plan Financiero Plurianual Territorial de forma conjunta con los demás funcionarios de la Secretaria Distrital de Salud que tengan relación 
2) Elaborar el análisis comparativo 2014/2015 del presupuesto de gastos de funcionamiento e inversión asignado y ejecutado. 
3) Se realizó el análisis a las solicitudes de ajustes presupuestales en el marco del Decreto 195/07, Circular SDS 020 de 2011 e Instructivo SDH 002 de 2007; y se emitieron 16 conceptos de modificaciones presupuestales 
4) Con respecto a NIIF: Se realiza primera ronda de capacitación y socialización del programa piloto adelantado por la Dirección Distrital de Contabilidad en los hospitales Santa Clara y Usaquén, a los 20 hospitales restantes de la red pública distrital, se crea aula virtual como instrumento de comunicación para facilitar el proceso de implementación de las NIIF en los 22 hospitales de la red pública distrital.
5) INDICADORES FINANCIEROS / PSFF/ PDIFF: Se realizó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estructura la metodología para el levantamiento de los costos Unitarios CUPS con base en la prueba piloto de 160 Costos Unitarios CUPS ya identificados, se cuenta con la información de Costos del primer Trimestre de las 22 ESE , para ser consolidada, analizada y puesta en conocimiento de los resultados a la Dirección, a las Gerencias de las Empresas y a Secretaria de Hacienda.</t>
    </r>
  </si>
  <si>
    <r>
      <t xml:space="preserve">HASTA JUNIO
</t>
    </r>
    <r>
      <rPr>
        <sz val="9"/>
        <color indexed="8"/>
        <rFont val="Arial Narrow"/>
        <family val="2"/>
      </rPr>
      <t>1. Se logra realizar el documento análisis de la ejecución del presupuesto por localidades con corte a diciembre 31 de 2014.
2. Se logró elaborar el documento Informe Ejecutivo de Seguimiento al Plan Distrital de Salud 2012-2016 “Análisis de la Gestión Segundo Semestre de 2014 del POA” en el marco del Plan de Desarrollo “Bogotá Humana” 2012 -2016.
3. Se logró realizar el seguimiento mensual al Presupuesto Orientado a Resultados - POR con corte a Diciembre 31 de 2014 de la Secretaría Distal de Salud y del Fondo Financiero Distrital.
4. Se logra consolidar la información de costos correspondiente al tercer trimestre del 2014, conforme a lo establecido en la Resolución DDC -0002 de 2014.
5. Se logra elaborar un informe trimestral teniendo en cuenta los centros de costos, por red, por niveles. 
6. Se logran cuadros comparativos entre el tercer trimestre de 2013 y el tercer trimestre de 2014, sobre el total de costos por ESE, elementos del costo Unidades de negocio por nivel y por red. Se analiza la información y se hace entrega de un primer informe
7. Se logra actualizar el formato 2 de los anexos del Plan Financiero Plurianual Territorial con la ejecución definitiva del presupuesto 2014 y el presupuesto definitivo 2015.
8. Se elabora la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Se logra elaborar el informe del seguimiento a la inversión de los recursos asignados a marzo 31 de 2015 para garantizar la prestación de los servicios de salud a la población desplazada y/o víctima del conflicto armado.
10. Se logra obtener la información relacionada con costos en los Planes de Saneamiento Fiscal y Financiero, se revisa el Pacto de Mejoramiento de la Contraloría y se espera que las 22 Empresas abran 95 acciones correctivas en coordinación con las Oficinas de Calidad, derivadas de los resultados del informe de 2014, con las variables costos y facturación. 
11. Se logra estructurar la metodología con base en la prueba piloto del levantamiento de 160 Costos Unitarios CUPS. Se circularizaran los 160 Costos Unitarios CUPS a las Empresas Sociales el Estado para su utilización.
12. Actualización de los anexos de rentas departamentales y esfuerzo propio para las vigencias 2014 y 2015.
13. Actualización del documento de redes del FFDS con la información financiera correspondiente a los periodos 2013 a 2015.
14. Se definieron los lineamientos para la elaboración del Anteproyecto de presupuesto 2016.
15 Actualización del Plan Financiero Plurianual Territorial</t>
    </r>
  </si>
  <si>
    <r>
      <t xml:space="preserve">HASTA JUNIO
</t>
    </r>
    <r>
      <rPr>
        <sz val="9"/>
        <color indexed="8"/>
        <rFont val="Arial Narrow"/>
        <family val="2"/>
      </rPr>
      <t>1. Documento análisis de la ejecución del presupuesto por localidades con corte a diciembre 31 de 2014.
2. Documento Informe Ejecutivo de Seguimiento al Plan Distrital de Salud 2012-2016 “Análisis de la Gestión Segundo Semestre de 2014 del POA” en el marco del Plan de Desarrollo “Bogotá Humana” 2012 -2016.
3. Matriz de seguimiento mensual al Presupuesto Orientado a Resultados - POR con corte a Diciembre 31 de 2014 de la Secretaría Distal de Salud y del Fondo Financiero Distrital y datos incorporados en el aplicativo PREDIS de Hacienda Distrital.
4. información de costos correspondiente al tercer trimestre del 2014, en la matriz de procedimientos CUPS; conforme a lo establecido en la Resolución DDC -0002 de 2014.
5. Informe trimestral teniendo en cuenta los centros de costos, por red, por niveles
6. Cuadros comparativos entre el tercer trimestre de 2013 y el tercer trimestre de 2014, sobre el total de costos por ESE, elementos del costo Unidades de negocio por nivel y por red. Se analiza la información y se hace entrega de un primer informe
7. Formato 2 de los anexos del Plan Financiero Plurianual Territorial con la ejecución definitiva del presupuesto 2014 y el presupuesto definitivo 2015 actualizado.
8. Presentación con el análisis de la inversión periodo 2012-2014 del presupuesto de las metas de los proyectos de inversión del Fondo Financiero Distrital de Salud que están asociadas a garantizar la prestación de los servicios de salud a los niños(as) menores de cinco años.
9. Metodología estructurada con base en la prueba piloto del levantamiento de 160 Costos Unitarios CUPS. Se circularizaran los 160 Costos Unitarios CUPS a las Empresas Sociales el Estado para su utilización.
10. Estandarización de conceptos para la construcción del anteproyecto 2016
11. Seguimiento y evaluación de la información financiera del REDES del FFDS.
12. La SDS cuenta con el Plan Financiero Plurianual Territorial actualizado a Junio 2015.</t>
    </r>
  </si>
  <si>
    <t>e04o02m01</t>
  </si>
  <si>
    <t>e04o02m01-617</t>
  </si>
  <si>
    <r>
      <rPr>
        <b/>
        <sz val="9"/>
        <color indexed="8"/>
        <rFont val="Arial Narrow"/>
        <family val="2"/>
      </rPr>
      <t>JUNIO:</t>
    </r>
    <r>
      <rPr>
        <sz val="9"/>
        <color indexed="8"/>
        <rFont val="Arial Narrow"/>
        <family val="2"/>
      </rPr>
      <t xml:space="preserve">
1) Revisión de indicadores del Plan Territorial de Salud cuya responsabilidad es de las EAPB. 
2) Asesoría técnica a las EAPB en el desarrollo de las acciones que le aportan al Plan Territorial de Salud por medio de las mesas de aseguradoras que se llevan cabo de forma mensual.
3) Revisión del seguimiento técnico financiero de los 18 proyectos de inversión del Fondo Financiero Distrital de Salud con corte a Junio 30 de 2015.
4) Ajustes al documento preliminar Balance de resultados 2012-2014, con énfasis en las metas del PIC (que incluye los Proyectos de Inversión 869- Salud Para el Buen Vivir y el 885- Salud Ambiental).
5) Se generan los reportes de definitivos de los componentes de gestión, inversión, actividades y territorialización para realizar la revisión y ajustes en común acuerdo con la Secretaría de Planeación Distrital.
6) Se realizan los ajustes pertinentes a las matrices de seguimiento del Plan de Desarrollo Bogotá Humana por proyectos para realizar el seguimiento al mes de Mayo de 2015.
7) Se realiza matriz de análisis a la ejecución por Proyecto de Inversión del Fondo Financiero Distrital de Salud, con corte a mayo 30 de 2015.
8) Se realiza análisis, de los proyectos inscritos en Plan Bienal de Inversiones en Salud, realizando los respectivos conceptos integrales, los cuales se direccionan al Ministerio de Salud y Protección Social, para concepto técnico de viabilidad.
9) Se emitieron durante el periodo de junio 20 conceptos técnicos.
10) Revisión y análisis de los indicadores de gestión del sector salud y ajuste a los indicadores del grupo de RIPS con la Alta Consejería.
11) Consolidación informe de Gestión preliminar 2012-2014.
12) Participación en la elaboración de la metodología y en la matriz - Balance de la Política de SPA”. 
13) Se realiza el seguimiento y evaluación a la implementación del Plan de acción Política de Infancia y Adolescencia 2012-2016, sector salud.
14) Consolidación de la propuesta presentación de logros del Plan de Desarrollo Bogotá Humana 2012-2016.
15) Consolidación del componente técnico y financiero de 17 proyectos del FFDS correspondiente a los meses de febrero y marzo de 2015.
16) Realizar el seguimiento mensual al Presupuesto Orientado a Resultados - POR con corte a Mayo 31 del 2015 de la Secretaría Distrital de Salud y del Fondo Financiero Distrital. 
17) Elaborar documento análisis situación del sector salud en Bogotá D. C. y prospectivas periodo 2016-2020.
18) Se realizó el cruce de metas del Decreto 3039 de 2007 Plan Nacional de Salud Pública, Resolución 425 de 2008, Plan de Desarrollo y Plan Territorial de salud Acuerdo 489 de 2012.
19) Elaboración de presentación de cumplimiento de metas a 31 de diciembre de 2014 para la Secretaría Distrital de Planeación. 
20) Actualización en el documento de análisis de concordancia entre los sistemas de información RIPS y SIVIGILA para los eventos Tuberculosis, meningitis, sífilis congénita, VIH en aspectos relacionados con la búsqueda de datos asociados con las atenciones para los eventos de análisis en el aplicativo SISPRO, con la finalidad establecer el índice de kappa para cada uno de ellos.
21) Actualización del documento de Modelo estadístico epidemiológico seguimiento a evento mortalidad materna en Bogotá periodo 2012 - 2014 en aspectos relacionados con hallazgos, conclusiones.
22) Ajuste y documentación de la matriz de Plan de análisis de información de forma mensual con base en los datos reportados en los RIPS durante este periodo, para las siguientes salidas. (enfermedades huérfanas, trastornos del sueño.
23) Consolidación de la información para incluir en el Boletín de estadísticas del año 2014 de las siguientes Direcciones o áreas Misionales: Laboratorio de salud pública, aseguramiento, SISVAN. 
24) Documentos finales de análisis de información de EDA y desnutrición pendiente revisión.
25) Elaboración del documento de informe definitivo del Acuerdo 489 de 2012 con el análisis y comportamiento de las metas de impacto, mortalidad evitable por localidad en el distrito capital. El análisis se realiza con corte a diciembre de 2014. 
26) Documento Serie Estadística de casos y tasas de Mortalidades evitables 2008 – 2014, como insumo para estimar las funciones.
27) Documento conteniendo formulación de metodología estadística en los proyectos de investigación Colciencias Mortalidad Materna y Perinatal de Bogotá.</t>
    </r>
  </si>
  <si>
    <r>
      <t xml:space="preserve">HASTA JUNIO
</t>
    </r>
    <r>
      <rPr>
        <sz val="9"/>
        <rFont val="Arial Narrow"/>
        <family val="2"/>
      </rPr>
      <t>1. Se logra dar asistencia técnica y se revisan los cierres 2014 y las actualizaciones de los proyectos de inversión del Fondo Financiero Distrital de Salud para la apertura 2015, de acuerdo a los recursos asignados según POAI 
2. Se lograron evaluar:  218 proyectos de las empresas sociales del estado e inscribir: 72
3. Se logra brindar los lineamientos técnicos para la elaboración de los informes de gestión y se definieron las fechas de entrega con el grupo interdirecciones de la Política de Victimas
4. se logró consolidar, revisar y sustentar el informe preliminar del Plan de Acción Distrital de la población víctima del conflicto armado el cual fue entregado a la Alta Consejería, así mismo se realizaron los ajustes pertinentes y se entregó el informe final en coordinación con el Grupo de victimas SDS. (Informe preliminar del Plan de Acción Distrital para la atención de la Población Victima del Conflicto Armado)
5. Se logra preparación de propuesta de modernización institucional concertada con Alta Consejería de la Alcaldía para las TIC.
6. Se logra revisión del documento Mapa de Procesos de la Secretaría
7. Se logra presentación de Conferencia sobre Estrategias de Comunicación a personal correspondiente de Red Hospitalaria Distrital.
8. Se logra actualizar Matriz Indicadores de Salud y presentarlos a la Secretaría Distrital de Planeación.
9. Propuesta de temas de Salud del Distrito Capital para ser incluidas en el Plan Nacional de Desarrollo para la vigencia 2014 – 2018
10. Construcción de la matriz de semaforización armonizado con la nueva estructura de la Entidad.
11. Se logra la actualización de la caracterización del proceso de Planeación Sectorial
12. Estructuración, alimentación y actualización de la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13. PROGRAMAS DE SANEAMIENTO FISCAL Y FINANCIERO: Se logra hacer entrega al Ministerio de Hacienda y Crédito Público, seguimiento a los Programas de Saneamiento Fiscal y Financiero con corte a Junio de 2014, según la metodología del MHCP.
14. Se logra consolidación de presupuestos oficiales para la vigencia 2015 de las ESE. 
15. Se logra realizar análisis, seguimiento, ajustes y consolidación de Informe RUSICST, Informe Narrativo Y FUT I Trimestre de 2015 de las acciones en salud de la Población Victima del Conflicto Armado.
16. Se logra realizar semaforización de las metas del Plan de Desarrollo por cada una de las vigencias 2012 a 2014 del EJE 1 para responder a la Veeduría.
17. En el mes de Abril se logra realizar fundamentación documental de: 
• Circular 07 de 2009 
• Circular 03 de 2012 
• Decreto 2193 de 2004 
• Circular 030 de 2013
18. Se logra desarrollar una propuesta de análisis relacionada con la concordancia entre los sistemas de información RIPS y SIVIGILA (Avances en el documento de documento de análisis relacionado con la concordancia entre los sistemas de información RIPS y SIVIGILA para los eventos Tuberculosis, meningitis, sífilis congénita, VIH)
19. Se logra realizar documentos preliminares de análisis de información de neumonía y desnutrición, con inclusión de comportamiento de los eventos según sexo, localidad de residencia, IPS tendencia del evento, tipo de usuario, tipo de atención.
20. Se logra analizar las metas de mortalidad propuestas en el Plan de Desarrollo, presentando las metas alcanzadas, que se podrán cumplir en la vigencia del Plan de Desarrollo Bogotá Humana y aquellas que no se lograrán alcanzar.
21. Se logra revisar y actualizar el comportamiento de la mortalidad evitable en el Distrito Capital. Serie de tiempo de 2001 a 2014.
22. Se actualizaron la serie de tiempo y la ficha técnica de indicadores, para concluir el informe del Acuerdo 067 de 2002. Archivo enviado a la Secretaría Distrital de Planeación, Dirección de Información, Cartografía y Estadística.
23. Se logra realizar el seguimiento al cumplimiento de las metas del Plan Desarrollo Bogotá Humana vigencia 2014.
24. Se logra realizar la presentación del Balance gestión 2014 de las metas de Plan Desarrollo Bogotá Humana 2012 -2016.
25. Se logra realizar la presentación de la Veeduría con las metas de Plan Desarrollo Bogotá Humana 2012 -2016. Cumplimiento Cuatrienio.
26. Capítulo de recepción de población víctima del conflicto armado
27. Matriz de gasto público y social del sector salud para la implementación de la Política Pública de Infancia Adolescencia 2012 a 2014 y proyección presupuestal 2015-2016
28. Documento conteniendo el diseño estadístico de muestreo, metodología y plan de análisis, para validar el estudio " el INSIGHT como factor pronóstico del riesgo suicida en Bogotá Distrito Capital".
29. Documento Serie Estadística de población de Bogotá y población Subsidiada y población Pobre No Asegurada a Salud (PPNA, vinculada), según Localidades 2008 – 2014; y Proyecciones 2016- 2020; Serie Estadística Población área de influencia Hospital ESE adscrito red pública SDS 2014.
30 Documentos finales de análisis de información de EDA y desnutrición pendiente revisión.
31. Documento Serie Estadística de casos y tasas de Mortalidades evitables 2008 – 2014, como insumo para estimar las funciones.
32. Documento conteniendo formulación de metodología estadística en los proyectos de investigación Colciencias Mortalidad Materna y Perinatal de Bogotá.</t>
    </r>
  </si>
  <si>
    <r>
      <t xml:space="preserve">HASTA JUNIO
</t>
    </r>
    <r>
      <rPr>
        <sz val="9"/>
        <rFont val="Arial Narrow"/>
        <family val="2"/>
      </rPr>
      <t xml:space="preserve">1. 18 documentos de cierres 2014 y las actualizaciones de los proyectos de inversión del Fondo Financiero Distrital de Salud para la apertura 2015, de acuerdo a los recursos asignados según POAI 
2. 218  proyectos de las Empresas Sociales del Estado evaluados y 72 inscritos.
3. Informe preliminar del Plan de Acción Distrital para la atención de la Población Victima del Conflicto Armado
4. Documento Mapa de Procesos de la Secretaría
5. Conferencia sobre Estrategias de Comunicación a personal correspondiente de Red Hospitalaria Distrital.
6. Matriz Indicadores de Salud y presentarlos a la Secretaría Distrital de Planeación.
7. Propuesta de temas de Salud del Distrito Capital para ser incluidas en el Plan Nacional de Desarrollo para la vigencia 2014 – 2018
8. Presentación del Tablero de control de la Entidad del periodo septiembre y octubre 2014.
9. Matriz de semaforización armonizado con la nueva estructura de la Entidad.
10. Caracterización del proceso de Planeación Sectorial
11. Matriz de seguimiento del Plan de Desarrollo Bogotá Humana articulado con el Plan Territorial de Salud, Plan de Contratación de la Secretaría Distrital de Salud de Bogotá D.C., Proyectos de Inversión del FFDS y de las Empresas Sociales del Estado, presupuestos productos metas y resultados [PMR] de la SDS
12. Documento análisis, seguimiento, ajustes y consolidación de Informe RUSICST, Informe Narrativo Y FUT I Trimestre de 2015 de las acciones en salud de la Población Victima del Conflicto Armado.
13. Semaforización de las metas del Plan de Desarrollo por cada una de las vigencias 2012 a 2014 del EJE 1 para responder a la Veeduría.
14. Fundamentación documental de: 
a. Circular 07 de 2009 
b. Circular 03 de 2012 
c. Decreto 2193 de 2004 
d. Circular 030 de 2013
15. Documento propuesta de análisis relacionada con la concordancia entre los sistemas de información RIPS y SIVIGILA (Avances en el documento de documento de análisis relacionada con la concordancia entre los sistemas de información RIPS y SIVIGILA para los eventos Tuberculosis, meningitis, sífilis congénita, VIH)
16. Documentos preliminares de análisis de información de neumonía y desnutrición, con inclusión de comportamiento de los eventos según sexo, localidad de residencia, IPS tendencia del evento, tipo de usuario, tipo de atención.
17. Documento de análisis a las metas de mortalidad propuestas en el Plan de Desarrollo, presentando las metas alcanzadas, que se podrán cumplir en la vigencia del Plan de Desarrollo Bogotá Humana y aquellas que no se lograrán alcanzar.
18. Documento de seguimiento al cumplimiento de las metas del Plan Desarrollo Bogotá Humana vigencia 2014.
19. Presentación del Balance gestión 2014 de las metas de Plan Desarrollo Bogotá Humana 2012 -2016.
20. Presentación de la Veeduría con las metas de Plan Desarrollo Bogotá Humana 2012 -2016. Cumplimiento Cuatrienio
21. Definición de la ruta de atención a población víctima del conflicto armado.
22. Proyección del gasto para la implementación de la Política Pública de Infancia Adolescencia 2012 a 2014
23. Pronóstico del riesgo suicida en Bogotá Distrito Capital
24 La SDS cuenta con los diferentes análisis e información y estadísticas de EDA, tasas de Mortalidades evitables 2008 – 2014 y Mortalidad Materna y Perinatal de Bogotá para la toma de decisiones. 
</t>
    </r>
  </si>
  <si>
    <t>Número de programas de mediano formulados e implementados</t>
  </si>
  <si>
    <t>Número de proyectos de inversión del  fondo Financiero Distrital de Salud formulados e implementados</t>
  </si>
  <si>
    <t xml:space="preserve">Número de anteproyectos de presupuesto del FFDS y de las ESE aprobados </t>
  </si>
  <si>
    <t>e04o02m02</t>
  </si>
  <si>
    <t>e04o02m02-617</t>
  </si>
  <si>
    <t>La acreditación de la SDS</t>
  </si>
  <si>
    <t>Esta meta se cumplió a Diciembre de 2014, teniendo en cuenta que el Artículo 3 del Decreto 903 de 2014 indica que "En el marco del Sistema Obligatorio de Garantía de Calidad de la Atención de Salud, se entiende que las Entidades Departamentales, Distritales y Municipales de Salud alcanzan el nivel superior de calidad con la certificación en la Norma Técnica de Calidad de la Gestión Pública NTCGP 1000:2009 o las normas que la modifiquen, adicionen o sustituyan, en concordancia con lo dispuesto en la Ley 872 de 2003", la cual fue obtenida por la SDS en el año 2011. Por lo tanto la SDS no deberá acreditarse para alcanzar niveles superiores de calidad.</t>
  </si>
  <si>
    <t>e04o02m03</t>
  </si>
  <si>
    <t>e04o02m03-617</t>
  </si>
  <si>
    <t>La certificación de la SDS</t>
  </si>
  <si>
    <r>
      <rPr>
        <b/>
        <sz val="8"/>
        <color indexed="8"/>
        <rFont val="Arial Narrow"/>
        <family val="2"/>
      </rPr>
      <t xml:space="preserve"> JUNIO:</t>
    </r>
    <r>
      <rPr>
        <sz val="8"/>
        <color indexed="8"/>
        <rFont val="Arial Narrow"/>
        <family val="2"/>
      </rPr>
      <t xml:space="preserve">
1. Planeación institucional: 
Se documentan las aclaraciones sobre la metodología de seguimiento al POA 2015 y se socializa por correo electrónico a los referentes de cada dependencia. De igual manera, se revisan las matrices de seguimiento POA de los meses abril – mayo reportadas a la fecha por las dependencias, se publican los seguimientos de la Subsecretaría de Salud Pública, se remiten observaciones de ajuste a la Dirección Financiera, se reitera a la Subsecretaría de Gestión Territorial, Participación y Servicio a la Ciudadanía y Dirección Análisis de Entidades Públicas el envío del seguimiento de los meses marzo a mayo. (Soporte: Utilidades / Dir. Planeación y sistemas / Dir. Planeación institucional y calidad / Seguimiento POA). Se solicita la entrega del reporte del mes de mayo el día 03/06/15.
Se brinda asesoría a la Dirección de Análisis de Entidades Públicas en relación con la metodología de formulación y reporte del POA. (05/06/15).
Se revisan indicadores transversales del SIG y reformularlos para que sean incluidos en el POA de todas las dependencias a partir de Julio 2015. 
2. Sistema de gestión de calidad:
Se continúa con la revisión de las plantillas de caracterización y procedimientos, al igual que con el proceso de migración de la gestión documental formalizada en el aplicativo Isolución con base en la nueva estructura organizacional y mapa de procesos. Así mismo, sobre este tema se realizan verificaciones sobre los posibles inconvenientes surtidos a lo largo del proceso y se realiza el debido reporte al ing. Luis Carlos Martínez para que proceda a realizar las acciones correctivas en el aplicativo ISOLUCION.
Con base en los diferentes reportes realizados por los gestores y referentes frente al proceso de migración documental, el Ing. Martínez realiza soporte y gestión de casos de ISOLUCION (41 casos reportados) durante lo corrido del mes. De igual manera, se realiza la revisión de la matriz de migración documental ajustada en aquellos documentos que presentaban inconsistencia en la codificación, actividad realizada en 6 procesos de apoyo, 1 proceso de evaluación y 1 proceso misional.
Frente al manejo de ISOLUCIÓN, se realiza capacitación a los gestores SIG de todos los procesos.
Se continúa con la socialización del nuevo mapa de procesos, para este mes se desarrolla capacitación en los procesos de Gestión en Salud Pública - Laboratorio de Salud Pública, Asegurar Salud, Gestión de Urgencias, Emergencias y Desastres, Calidad de Servicios de Salud y Provisión de Servicios de Salud, Gestión TIC, Gestión Bienes y Servicios, Gestión Financiera De igual manera, se realiza la tabulación de las pruebas de adherencia aplicadas a los procesos frente a estas capacitaciones
El proceso continúa con la actualización del normograma institucional de acuerdo con nuevo mapa de procesos. 
Se lleva a cabo reunión con gestores del proceso Gestión Salud Pública para verificar el reporte y acciones del producto no conforme. De igual manera, se realizó con los procesos de Gestión de Urgencias, Emergencias y Desastres, Provisión de Servicios, Calidad de Servicios de Salud y Asegurar Salud.
Se realiza verificación al avance de las acciones correctivas producto de las no conformidades determinadas en la Auditoria Icontec.
Conjuntamente con la Oficina de Control Interno, se da inicio al proceso de planeación de las Auditorías Internas de Calidad, donde la Dirección de Planeación Institucional realizará el acompañamiento técnico al equipo de Auditores de Calidad y participará en los ejercicios de campo en algunos de los procesos designados. Este trabajo incluye la revisión documental del proceso Evaluación, Seguimiento y Control a la Gestión en conjunto con el profesional delegado por el Líder de dicho proceso, la convocatoria al grupo auditor y el acompañamiento y revisión en el levantamiento de las listas de verificación, entre otros aspectos.
Se da inicio al proceso de acompañamiento de Trazabilidad de cuentas de Hospitales en las cuales participan: grupo Funcional de Despacho, TIC, Calidad, DUES, Salud Publica , Administrativa, Aseguramiento y Financiera, con el fin de unificar el procedimiento transversal a cargo del despacho y las direcciones, generar un instructivo, establecer oportunidades de mejora, agilización en la entrada de las cuentas a correspondencia y Cordis de Salud Pública y Aseguramiento, medición de tiempos y seguimiento a los últimos 12 meses del PAC de cada dirección, entre otras acciones.</t>
    </r>
  </si>
  <si>
    <r>
      <rPr>
        <b/>
        <sz val="9"/>
        <color indexed="8"/>
        <rFont val="Arial Narrow"/>
        <family val="2"/>
      </rPr>
      <t xml:space="preserve">HASTA JUNIO: </t>
    </r>
    <r>
      <rPr>
        <sz val="9"/>
        <color indexed="8"/>
        <rFont val="Arial Narrow"/>
        <family val="2"/>
      </rPr>
      <t xml:space="preserve">
1. Planeación Institucional - Con corte a junio se ha logrado:
Documento de aclaraciones de la metodología de seguimiento al POA 2015, Matrices de seguimiento POA Abril - mayo pendientes DUES y Jurídica; están publicadas en carpeta Utilidades / Dir. Planeación y sistemas / Dir. Planeación institucional y calidad / Seguimiento POA. 
Indicadores transversales del SIG revisados y reformularlos para que sean incluidos en el POA de todas las dependencias a partir de Julio 2015. 
2. Sistema de gestión de calidad - Con corte a junio se ha logrado:
Nuevos prototipos de plantillas de caracterización y procedimientos para ser incluidas en requerimientos de Isolución. 
Proceso de migración documental de los procesos de la entidad con base en la nueva estructura a un 50% para el mes de junio.
Verificación de avances frente a las acciones correctivas producto de la auditoria ICONTEC.
Cubrimiento del 100% de los procesos frente a la socialización del nuevo mapa de procesos de la entidad y aplicación de pruebas de adherencia.
Avance frente al cargue de normatividad de los procesos en el Normograma Institucional en un 70% con corte a junio.
Haber priorizado 4 procedimientos que son transversales en la entidad y que requieren de intervención.
Dar inicio al proceso de trazabilidad de pago cuentas hospitales con la participación activa de todos los procesos intervinientes.
Planificar la ejecución de las Auditorías Internas de Calidad, convocatoria al grupo auditor y verificación de gestión documental asociada al mismo.</t>
    </r>
  </si>
  <si>
    <r>
      <rPr>
        <b/>
        <sz val="8"/>
        <color indexed="8"/>
        <rFont val="Arial Narrow"/>
        <family val="2"/>
      </rPr>
      <t xml:space="preserve">HASTA JUNIO: 
</t>
    </r>
    <r>
      <rPr>
        <sz val="8"/>
        <color indexed="8"/>
        <rFont val="Arial Narrow"/>
        <family val="2"/>
      </rPr>
      <t>El porcentaje de cumplimiento de esta meta para la vigencia 2015 incluida en el proyecto equivale a un 15%, el cual fue divido en doce (12) meses lo que equivale a 1,25 mensual, según las actividades realizadas se calcula el cumplimiento mensual por lo tanto, el acumulado de enero a junio es de 6,7%.
1 Planeación Institucional - Con corte a junio se han obtenido los siguientes resultados:
Evitar que las dependencias que tienen a cargo proyectos de inversión no deban duplicar la información que reportan en matriz de SEGPLAN en la matriz del POA. 
Mejoras en la metodología de reporte del POA y su articulación con SEGPLAN.
Asesoría y asistencia técnica permanente para el reporte del POA.
A la fecha de presentación se tiene pendiente el POA de dos (2) procesos: DUES y Jurídica.  El seguimiento al mes de abril se tiene un 100%, a Mayo un 90%.
2. Sistema de Gestión de Calidad - Con corte a junio se han obtenido los siguientes resultados:
La revisión y seguimiento a procedimientos críticos ha permitido identificar oportunidades de mejora que benefician a la entidad y a los hospitales de la red pública.
Poder iniciar el proceso de actualización del manual de procesos y procedimientos conforme la nueva estructura organizacional.
Establecer el plan de trabajo para la ejecución de las Auditorias Internas de Calidad en la totalidad de los procesos de la Entidad.
Convocatoria al grupo de auditores capacitados por la Entidad para que participen en la ejecución de las auditorias internas de calidad.
Revisión documental asociada al proceso de Evaluación, Seguimiento y Control de la Gestión, específicamente lo relacionado con las Auditorias de Calidad.
Frente a las asesorías y asistencias técnicas, se lleva un acumulado durante lo corrido de la vigencia de 200 (enero - junio) en diferentes temas.</t>
    </r>
  </si>
  <si>
    <t>El porcentaje de cumplimiento de esta meta para la vigencia 2015 incluida en el proyecto equivale a un 15%, el cual fue divido en doce (12) meses lo que equivale a 1,25 mensual, según las actividades realizadas se calcula el cumplimiento mensual por lo tanto, el acumulado de enero a junio es de 6,7%.</t>
  </si>
  <si>
    <t>DESPLAZADOS INDIGENAS</t>
  </si>
  <si>
    <t>INDIGENAS</t>
  </si>
  <si>
    <t>e04o03m01</t>
  </si>
  <si>
    <t>e04o03m01-617</t>
  </si>
  <si>
    <t xml:space="preserve">Número total de subsistemas implementados </t>
  </si>
  <si>
    <r>
      <rPr>
        <b/>
        <sz val="8"/>
        <color indexed="8"/>
        <rFont val="Arial Narrow"/>
        <family val="2"/>
      </rPr>
      <t>JUNIO:</t>
    </r>
    <r>
      <rPr>
        <sz val="8"/>
        <color indexed="8"/>
        <rFont val="Arial Narrow"/>
        <family val="2"/>
      </rPr>
      <t xml:space="preserve">
Subsistema Gestión Documental y Archivo
La Dirección de Planeación Institucional continua con el acompañamiento en las reuniones entre el Archivo Central y los gestores y referentes de archivo de cada proceso para dar a conocer los lineamientos para la actualización de las Tablas de Retención Documental (TRD) y elaboración de Cuadros de caracterización documental. 
Subsistema Gestión Ambiental: 
Se llevan a cabo diferentes campañas y actividades que fueron incluidas en el Plan Institucional de Gestión Ambiental (PIGA) y aprobadas por el Comité de Gestión Ambiental. Estas son: Participación y seguimiento a la entrega de plántulas de guayaba blanca como parte de las actividades de celebración de la semana ambiental-4 de junio de 2015, realización, asesoría y seguimiento a la actividad denominada: “5 ESES” realizada en la entidad principalmente en el área correspondiente a Planeación Institucional y calidad y de apoyo en el área de la Dirección de Calidad en Servicios de Salud-5 de junio de 2015 y presentación de resultados de evaluación y de evidencias fotográficas de los puestos de trabajo en el comité de Gestión Ambiental.
De igual manera, se continúa con el acompañamiento y participación en las reuniones del Comité Ambiental y del Comité del PIGHRS.
Generales a todos los subsistemas:
Elaboración de procedimiento Gestión de cumplimiento de lo legal, actualización del procedimiento de medición de satisfacción de cliente, propuesta de estructura link del Sistema Integrado de Gestión que se envía a comunicaciones, diseño y propuesta de mapa de riesgos de corrupción para ser avalado por el nivel directivo, actualización del MECI solicitud a las dependencias y recolección de la información para la actualización del mapa conceptual del MECI en el aplicativo ISOlución, reunión de articulación con los referentes jurídicos para establecer compromisos de entrega de actividades, diseño y desarrollo de estrategia de socialización de las políticas de seguridad de la información en conjunto con la dirección TIC y socialización mediante correo electrónico de la Enciclopedia Tomo 3 con los compañeros de la dirección de Planeación y Calidad.
Subsistema de Seguridad y Salud en el Trabajo:
La Dirección de Planeación Institucional participó en la revisión del proceso que definía los Indicadores de gestión del trimestre basado en la Guía de la Alcaldía de Planificación Operativa., también en la actividad de caracterización socio demográfica TH SDS y apoyó los temas de afiliación al SGRL Intervención de Peligros identificados y Prevención y preparación para la atención de Emergencias.</t>
    </r>
  </si>
  <si>
    <r>
      <rPr>
        <b/>
        <sz val="8"/>
        <color indexed="8"/>
        <rFont val="Arial Narrow"/>
        <family val="2"/>
      </rPr>
      <t>HASTA JUNIO:</t>
    </r>
    <r>
      <rPr>
        <sz val="8"/>
        <color indexed="8"/>
        <rFont val="Arial Narrow"/>
        <family val="2"/>
      </rPr>
      <t xml:space="preserve">
Con corte a junio se ha logrado en la implementación de los subsistemas: 
Subsistema de gestión ambiental:
Participación activa en las diferentes actividades programadas desde el Comité, con el fin de generar conciencia y articulación con los demás subsistemas.
Subsistema gestión documental y archivo:
Se logra orientar a todos los procesos en la actualización de los dos principales elementos del Subsistema de Gestión Documental y Archivo. 
Subsistema de seguridad de la información:
Se logra establecer una estrategia de socialización de las políticas de seguridad de la información.
Subsistema de seguridad y salud en el trabajo:
Se logra la definición de los indicadores de gestión con base en la Guía de la Alcaldía Mayor.
Se logra establecer la caracterización socio demográfica de TH para la SDS.
Subsistema de control interno:
Se adelantó una propuesta de mapa de riesgos de corrupción transversal para ser revisado y avalado por la alta dirección.
Actualización del MECI y mapa conceptual del mismo para ser incluido en ISOLUCION.
Generales a todos los subsistemas:
Elaboración y revisión en mesa de trabajo con la OCI y Jurídica del procedimiento Gestión de Cumplimiento de lo Legal. Actualización del procedimiento de medición de satisfacción del cliente.
</t>
    </r>
  </si>
  <si>
    <r>
      <rPr>
        <b/>
        <sz val="9"/>
        <color indexed="8"/>
        <rFont val="Arial Narrow"/>
        <family val="2"/>
      </rPr>
      <t>HASTA JUNIO</t>
    </r>
    <r>
      <rPr>
        <sz val="9"/>
        <color indexed="8"/>
        <rFont val="Arial Narrow"/>
        <family val="2"/>
      </rPr>
      <t xml:space="preserve">:
Mayor avance en la implementación de 3 de los 8 subsistemas que conforman el sistema integrado de gestión (Gestión ambiental, seguridad de la información, seguridad y salud en el trabajo) de acuerdo con los requerimientos exigidos en la norma NTD SIG 001:2011 y las directrices emitidas por la Secretaría General.
Implementación de acciones encaminadas al fortalecimiento de los subsistemas y al involucramiento de los servidores públicos vinculados a la SDS.
</t>
    </r>
  </si>
  <si>
    <t xml:space="preserve">
De acuerdo con los temas tratados en Comité del SIG se identificó que existe la problemática de no contar con el grupo completo de gestores y referentes para los temas del SIG, para lo cual se decide remitir memorando a todas las dependencias solicitando designen por proceso los referentes para cada uno de los temas.
</t>
  </si>
  <si>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</si>
  <si>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 xml:space="preserve">SEGUIMIENTO ACTIVIDADES PROYECTOS DE INVERSIÓN </t>
    </r>
    <r>
      <rPr>
        <sz val="9"/>
        <color indexed="8"/>
        <rFont val="Arial"/>
        <family val="2"/>
      </rPr>
      <t xml:space="preserve">
</t>
    </r>
    <r>
      <rPr>
        <b/>
        <sz val="9"/>
        <color indexed="8"/>
        <rFont val="Arial"/>
        <family val="2"/>
      </rPr>
      <t>Código:</t>
    </r>
    <r>
      <rPr>
        <sz val="9"/>
        <color indexed="8"/>
        <rFont val="Arial"/>
        <family val="2"/>
      </rPr>
      <t xml:space="preserve"> 114 - PLI - FT -  061 V.01</t>
    </r>
  </si>
  <si>
    <r>
      <rPr>
        <b/>
        <sz val="9"/>
        <color indexed="8"/>
        <rFont val="Arial"/>
        <family val="2"/>
      </rPr>
      <t xml:space="preserve">DIRECCIÓN DE PLANEACIÓN Y SISTEMAS </t>
    </r>
    <r>
      <rPr>
        <sz val="9"/>
        <color indexed="8"/>
        <rFont val="Arial"/>
        <family val="2"/>
      </rPr>
      <t xml:space="preserve">
</t>
    </r>
    <r>
      <rPr>
        <b/>
        <sz val="9"/>
        <color indexed="8"/>
        <rFont val="Arial"/>
        <family val="2"/>
      </rPr>
      <t>SISTEMA INTEGRADO DE GESTIÓN</t>
    </r>
    <r>
      <rPr>
        <sz val="9"/>
        <color indexed="8"/>
        <rFont val="Arial"/>
        <family val="2"/>
      </rPr>
      <t xml:space="preserve">
CONTROL DOCUMENTAL
</t>
    </r>
    <r>
      <rPr>
        <b/>
        <sz val="9"/>
        <color indexed="8"/>
        <rFont val="Arial"/>
        <family val="2"/>
      </rPr>
      <t>SEGUIMIENTO ACTIVIDADES PROYECTOS DE INVERSIÓN</t>
    </r>
    <r>
      <rPr>
        <sz val="9"/>
        <color indexed="8"/>
        <rFont val="Arial"/>
        <family val="2"/>
      </rPr>
      <t xml:space="preserve"> 
Código: 114 - PLI - FT -  061 V.01</t>
    </r>
  </si>
  <si>
    <t>Proyecto</t>
  </si>
  <si>
    <t>Numero de
Proyecto</t>
  </si>
  <si>
    <t>Actividad</t>
  </si>
  <si>
    <t>1 - RECURSOS PROPIOS (ENTIDADES TERRITORIALES)</t>
  </si>
  <si>
    <t>2 - SISTEMA GENERAL DE PARTICIPACIONES</t>
  </si>
  <si>
    <t>3 - FOSYGA</t>
  </si>
  <si>
    <t>4 - TRANSFERENCIAS NACIONALES (Rentas Contractuales)</t>
  </si>
  <si>
    <t>6 - RENTAS CEDIDAS</t>
  </si>
  <si>
    <t>7 - RECURSOS DE CAJAS DE COMPENSACIÓN FAMILIAR</t>
  </si>
  <si>
    <t>8 - RENDIMIENTOS FINANCIEROS - RECURSOS DEL BALANCE</t>
  </si>
  <si>
    <t>9 - PRESTACIÓN DE SERVICIOS DE LABORATORIO DE SALUD PUBLICA(LDSP)</t>
  </si>
  <si>
    <t>13 - OTROS RECURSOS DE BANCA NACIONAL Y MULTILATERAL</t>
  </si>
  <si>
    <t>DEFINITIVO</t>
  </si>
  <si>
    <t>EJECUTADO O COMPROMETIDO</t>
  </si>
  <si>
    <t>%</t>
  </si>
  <si>
    <t>Construir y poner en funcionamiento un sistema de Análisis y Evaluación y Políticas de Salud para el Distrito Capital como base para la formulación y ajuste de planes, programas y proyectos, al 2016.</t>
  </si>
  <si>
    <t>Diseño e implementación de instrumentos de seguimiento y evaluación de las políticas en salud del Distrito Capital.</t>
  </si>
  <si>
    <t>Porcentaje de avance en el diseño e implementación de instrumentos de seguimiento y evaluación</t>
  </si>
  <si>
    <r>
      <rPr>
        <b/>
        <sz val="8"/>
        <rFont val="Tahoma"/>
        <family val="2"/>
      </rPr>
      <t>Junio:</t>
    </r>
    <r>
      <rPr>
        <sz val="8"/>
        <rFont val="Tahoma"/>
        <family val="2"/>
      </rPr>
      <t xml:space="preserve">
Actualización de Inventario de política públicas con fecha al mes de mayo en Isolución, listo para dar cuenta a los entes de control y apoyar el seguimiento interno.
Se subió la matriz de inventario de Políticas con los cambios al sistema Isolución con corte mayo.
Se construyó documento de ficha técnica para evaluación de impacto de políticas públicas, en el cual se incluyó apartado relacionado con la identificación de la cadena de valor (productos y resultados) que se comporta como insumo para el análisis de políticas públicas.
Se elaboró ficha técnica para asistencia técnica al proceso de evaluación.
Se concertó con la Subdirección de Evaluación y Gestión de políticas públicas la elaboración de los proyectos para evaluar las políticas de calidad de vida de los trabajadores y la de prevención de infecciones intrahospitalarias.
Se realizó reunión con la Subdirección de Evaluación y gestión de políticas públicas para concretar acuerdos de trabajo entre esta dirección y la Dirección de Planeación Sectorial en lo relacionado con la evaluación de políticas públicas y el análisis normativo distrital y nacional.</t>
    </r>
  </si>
  <si>
    <r>
      <rPr>
        <b/>
        <sz val="8"/>
        <rFont val="Tahoma"/>
        <family val="2"/>
      </rPr>
      <t>Junio:</t>
    </r>
    <r>
      <rPr>
        <sz val="8"/>
        <rFont val="Tahoma"/>
        <family val="2"/>
      </rPr>
      <t xml:space="preserve"> En el momento hay transición de referentes de las políticas públicas debido a asuntos contractuales.</t>
    </r>
  </si>
  <si>
    <t>Asistencia  técnica  a los referentes de políticas en salud de  responsabilidad de la entidad, en la aplicación de la metodología definida para el análisis y evaluación en sus diferentes etapas.</t>
  </si>
  <si>
    <t xml:space="preserve">porcentaje de avance de asistencia técnica a los referentes de políticas
</t>
  </si>
  <si>
    <r>
      <rPr>
        <b/>
        <sz val="8"/>
        <rFont val="Tahoma"/>
        <family val="2"/>
      </rPr>
      <t>Junio:</t>
    </r>
    <r>
      <rPr>
        <sz val="8"/>
        <rFont val="Tahoma"/>
        <family val="2"/>
      </rPr>
      <t xml:space="preserve">
*Se consultó y actualizó la normatividad pertinente al proceso de políticas públicas y el sector salud.
*Se incorporó al normograma la Resolución 1868 de 2015 en relación con cáncer y la Ley 1752 de 2015, relacionada con discapacidad. También se agregó la Ley 1753 de 2015 sobre el Plan Nacional de Desarrollo 2014-2018.
*Se realizó documento de redes especializadas, como parte del legado de la Administración actual para el futuro de  Bogotá.
*Se elaboró ficha técnica para evaluación de políticas públicas y se envió taller de planes de acción a las referentes de salud mental, salud oral, infecciones intrahospitalarias y calidad de vida de los trabajadores.
*Se realizo socialización con  el grupo de interdirecciones de políticas públicas  de  la ley 1753 por la cual se adopta el Plan Nacional de Desarrollo Todos por un nuevo país 2014-2018 y la Resolución 1868 de 2015 respectivamente.
*Se cuenta con una propuesta de comunicación para políticas públicas (normas) preparada con el referente de comunicaciones de la Dirección
*Se canalizó a través de los referentes del grupo de políticas, los proyectos de Ley que inciden en salud, hacia los referentes técnicos que manejan tales temas.
*se realiza, la matriz de gasto público y social del sector salud para la implementación de la Política Pública de Infancia Adolescencia para los años 2012 a 2014 y proyección presupuestal 2015-2016.</t>
    </r>
  </si>
  <si>
    <t xml:space="preserve">Seguimiento y análisis de las políticas en salud  en la etapa del Ciclo en la que se encuentre la política. </t>
  </si>
  <si>
    <t>Porcentaje de avance en el seguimiento y análisis de las políticas en salud</t>
  </si>
  <si>
    <r>
      <rPr>
        <b/>
        <sz val="8"/>
        <rFont val="Tahoma"/>
        <family val="2"/>
      </rPr>
      <t>Junio:</t>
    </r>
    <r>
      <rPr>
        <sz val="8"/>
        <rFont val="Tahoma"/>
        <family val="2"/>
      </rPr>
      <t xml:space="preserve">
*Se revisó y consolidó compendio de programas y proyectos del Plan Nacional de Desarrollo 2014-2018 para Bogotá. 
*Actualización de Inventario de política públicas con fecha al mes de mayo en Isolución, listo para dar cuenta a los entes de control y apoyar el seguimiento interno.
*Se trabajó con la subdirección de evaluación y gestión de políticas públicas en la revisión de la Ley 1753 de 2015.
*Se identificaron los logros en salud dentro del Plan Nacional de Desarrollo “Todos por un Nuevo País” 2014-2018.
*De manera conjunta con la Subsecretaría de Salud Pública se realizan y consolida la matriz que contiene los 36 indicadores que dan cuenta de la gestión de la SDS para la implementación de la Política de Infancia y Adolescencia y los 10 indicadores de Juventud. Se presenta el comportamiento de dicho indicadores para las vigencias 2012-2014 así como el análisis de su comportamiento.
</t>
    </r>
  </si>
  <si>
    <t>Diseño de  estrategias para realizar seguimiento a la gestión institucional e implementación de las políticas de salud.</t>
  </si>
  <si>
    <t xml:space="preserve"> % de avance en el diseño de las estrategias para el seguimiento a la gestión institucional e implementación de las políticas de salud.
</t>
  </si>
  <si>
    <r>
      <rPr>
        <b/>
        <sz val="8"/>
        <color indexed="8"/>
        <rFont val="Tahoma"/>
        <family val="2"/>
      </rPr>
      <t xml:space="preserve">Junio: </t>
    </r>
    <r>
      <rPr>
        <sz val="8"/>
        <color indexed="8"/>
        <rFont val="Tahoma"/>
        <family val="2"/>
      </rPr>
      <t xml:space="preserve">Se realizó asesoría y asistencia técnica en seguimiento, y monitoreo de poyectos de inversión local de salud a las localidades en los proyectos que se relacionan a continuación:
Ciudad Bolivar:erechos sexuales y reproductivos 0,30% avance fisico y 1,88% Financiero.
discapacidad fisica y cognitiva  1,68%  fisico y 2,37%  financiero.
Usme:2014 Banco de ayudas tecnicas fisico 71% y financiera 41%. vectores 100%  fisico, y financiero.  Promoción y Prevención 100%. Salud Oral: Fisico 100% y financiero 90%.
Puente Aranda:    Componente de Salud Oral:  El contrato de suministros de insumos se ejecuto al 100%. Ayudas Técnicas: Ejecución Física 15,05% . 
Kennedy:  Componente de Salud mental, Salud Nuticional y Banco de ayudas Técnicas (PyP) Vigencia 2013: Ejecución física 99%.  
Componente de control de vectores:  física acumulada 70%. Adición Vigencia 2014:  física acumulada 15%. 
Fontibón:  
Componente Ambito Escolar: fisica 20% 
Componente de Control de vectores: Ejecución física acumulada 15% 
Componente de Salud sexual y reproductiva: Ejecución física acumulada 35%. 
Componente Ayudas Técnicas: Ejecución física acumulada 33%
Santafé:
Convenio Interadministrativo CIA 104-2013 Ortodoncia 49,16% 
CIA 060-2013 SAMA Santafé Adicion y prorroga recursos 2013-2014 Ejecución Final 97,27%
CIA 077-2014  Banco de Ayudas Técnicas 91,73%
CIA 075/2014  Ruta Saludable 56%
CIA 079/2014  Promoción y prevencion.  28,19%
CIA 135/14  COPACO Ejecución Final 100%
Candelaria:
CIA 148/2014 Tenencia de mascotas 15,42%
CIA 080-2014 Banco de Ayudas Técnicas  90,28%
CIA 079-2014 Promoción y Prevención 80,85%
CIA 132-2014 Hidroterapia e hipoterapia 7%
Rafael Uribe:
Convenio de Asociación CAS 131/2014  Salud Oral persona adulta 23%
CIA 129-2014  Banco de Ayudas Tecnicas 6,86%
Antonio Nariño:
CIA 143-2014  Salud Sexual y Reproductiva 46%, Salud Oral 16% y Salud Mental 41%
CIA 125-2014  Banco de Ayudas Técnicas 12%
Martires:
CIA 113-2014 : Banco de Ayudas técnicas, Vacunación No POS, Salud oral, Salud Sexual, Programas de atención y formación sexual y reproductiva Prevención de consumo de SPA y Jornadas de esterilización, vacunación, identificación y adopción de caninos y felinos.  6,51%
</t>
    </r>
  </si>
  <si>
    <t xml:space="preserve">Evaluación de las políticas de salud incorporadas en los planes locales a través de la implementación de las estrategias </t>
  </si>
  <si>
    <t xml:space="preserve"> % de avance en el seguimiento y evaluación de la gestión de las políticas de salud.
</t>
  </si>
  <si>
    <r>
      <rPr>
        <b/>
        <sz val="8"/>
        <color indexed="8"/>
        <rFont val="Tahoma"/>
        <family val="2"/>
      </rPr>
      <t>Junio:</t>
    </r>
    <r>
      <rPr>
        <sz val="8"/>
        <color indexed="8"/>
        <rFont val="Tahoma"/>
        <family val="2"/>
      </rPr>
      <t>Se trabaja en coordinación con los grupos funcionales de salud mental y discapacidad para hacer seguimiento a la incorporación de políticas en planes locales y líneas de inversión de UEL. Adicionalmente se coordina con referentes de salud pública de Salud Sexual y Reproductiva y salud ambiental para coordinar líneas técnicas de los proyectos UEL.</t>
    </r>
  </si>
  <si>
    <t>Insuficiencia de personal en las redes territoriales para el ejercicio de la función</t>
  </si>
  <si>
    <t>Articulación de propuestas estratégicas de concurrencia, complementariedad y/o subsidiariedad para el desarrollo de políticas públicas en salud, a nivel distrital y local.</t>
  </si>
  <si>
    <t xml:space="preserve">% de avance en  la articulación de propuestas de concurrencia, complementariedad y/o subsidiariedad para el desarrollo de políticas publicas en salud, a nivel Distrital y Local. 
</t>
  </si>
  <si>
    <r>
      <rPr>
        <b/>
        <sz val="8"/>
        <color indexed="8"/>
        <rFont val="Tahoma"/>
        <family val="2"/>
      </rPr>
      <t xml:space="preserve">Junio: </t>
    </r>
    <r>
      <rPr>
        <sz val="8"/>
        <color indexed="8"/>
        <rFont val="Tahoma"/>
        <family val="2"/>
      </rPr>
      <t xml:space="preserve"> Se han desarrollado las líneas de inversión local definidas para el sector: 1. Promoción y prevención: Salud Mental,  vacunación, promoción de salud, salud oral
2. Promoción de la exigibilidad del derecho
3. Atención integral a personas en condición de discapacidad- Banco de ayudas técnicas.
4. Vigilancia y control en salud pública: Vectores y roedores
5. Cuidado y manejo de mascotas
Y las líneas transectoriales:
1. Prevención de consumo de sustancias psicoactivas
2. Promoción y prevención en el marco de derechos sexuales y reproductivos
</t>
    </r>
  </si>
  <si>
    <t>Gestión, asesoría, apoyo técnico y administrativo para la destinación de recursos que fortalezcan la inversión en salud por parte de los fondos de desarrollo local, según las líneas de inversión definidas.</t>
  </si>
  <si>
    <t xml:space="preserve">% de avance en la gestión, asesoría, apoyo técnico y administrativo para la destinación de recursos en salud, por parte de los Fondos de Desarrollo local.
</t>
  </si>
  <si>
    <r>
      <rPr>
        <b/>
        <sz val="8"/>
        <color indexed="8"/>
        <rFont val="Tahoma"/>
        <family val="2"/>
      </rPr>
      <t xml:space="preserve">Junio: </t>
    </r>
    <r>
      <rPr>
        <sz val="8"/>
        <color indexed="8"/>
        <rFont val="Tahoma"/>
        <family val="2"/>
      </rPr>
      <t xml:space="preserve"> Articulación con las alcaldías locales para nuevos proyectos y recursos establecidos en los planes de desarrollo local para vigencia 2015. </t>
    </r>
  </si>
  <si>
    <t>es importante que las Alcaldías locales formulen proyectos para la vigencia 2015 antes de la Ley de garantías. Algunas Alcaldías como Usme, Engativá, Barrios Unidos, Santa Fe, Mártires, Bosa, Tunjuelito, San Cristóbal, Suba no han enviado proyectos pa</t>
  </si>
  <si>
    <t>Formulación e Implementación de la política de financiamiento del sector salud</t>
  </si>
  <si>
    <t xml:space="preserve">Porcentaje de avance en la formulación e  implementación de estrategias para la sostenibilidad  financiera de la política pública del sector salud
</t>
  </si>
  <si>
    <r>
      <rPr>
        <b/>
        <sz val="8"/>
        <rFont val="Tahoma"/>
        <family val="2"/>
      </rPr>
      <t>Junio:</t>
    </r>
    <r>
      <rPr>
        <sz val="8"/>
        <rFont val="Tahoma"/>
        <family val="2"/>
      </rPr>
      <t xml:space="preserve">
*Realizo ajustes al Plan Financiero con bases en las observaciones del Ministerio de Salud y Protección Social y demás entes verificadores, dando cumplimiento a la metodología dada en la Resolución 4015 de 2013
*Actualización del Plan Financiero Plurianual Territorial de forma conjunta con los demás funcionarios de la Secretaria  Distrital de Salud que tengan relación 
*Preparar y consolidar la información financiera para la elaboración de la proyección del presupuesto para el año 2016 del FFDS.
*Elaborar el análisis comparativo 2014/2015 del presupuesto de gastos de funcionamiento e inversión  asignado y ejecutado. </t>
    </r>
  </si>
  <si>
    <t>Formulación e implementación de estrategias para garantizar el financiamiento y la sostenibilidad de las fuentes de financiación del sector salud en Bogotá</t>
  </si>
  <si>
    <t xml:space="preserve">Porcentaje de avance en el diseño e implementación de estrategias de financiamiento para garantizar el cumplimiento de las metas del Plan Territorial de Salud y el Plan de Desarrollo "Bogotá Humana" 2012-2016
</t>
  </si>
  <si>
    <r>
      <rPr>
        <b/>
        <sz val="8"/>
        <rFont val="Tahoma"/>
        <family val="2"/>
      </rPr>
      <t>Junio:</t>
    </r>
    <r>
      <rPr>
        <sz val="8"/>
        <rFont val="Tahoma"/>
        <family val="2"/>
      </rPr>
      <t xml:space="preserve">
Se realizó el análisis a las solicitudes de ajustes presupuestales en el marco del Decreto 195/07, Circular SDS 020 de 2011 e Instructivo SDH 002 de 2007;   y se emitieron 16 conceptos de modificaciones presupuestales 
 Con respecto a NIIF:
*Se realiza primera ronda de capacitación y socialización del programa piloto adelantado por la Dirección Distrital de Contabilidad en los hospitales Santa Clara y Usaquén, a los 20 hospitales restantes de la red pública distrital.
*Se crea aula virtual como instrumento de comunicación para facilitar el proceso de implementación de las NIIF en los 22 hospitales de la red pública distrital.
INDICADORES FINANCIEROS / PSFF/ PDIFF
*Se realizo seguimiento y análisis al cumplimiento de las medidas adoptadas  en los Programas de Saneamiento Fiscal y Financiero y a los Planes de  Desempeño Institucional, Fiscal y Financiero, con corte a 31 de Marzo de 2015.
*Se realizaron Mesas de crisis para análisis de la situación actual del Hospital San Blas en tres componentes: Análisis presupuestal , Análisis de servicios y necesidad de recursos
Se dio Inicio de las mesas  de crisis de las ESE: Meissen, Centro oriente y Bosa. 
*Se estructura la metodología para el levantamiento de los costos Unitarios CUPS con base en la prueba piloto  de 160 Costos Unitarios CUPS ya identificados . 
*Se continua depurando la información de Producción CUPS con las diferentes Empresas.
*Se cuenta con la información de Costos del primer Trimestre de las 22 ESE , para ser consolidada, analizada  y puesta en conocimiento de los resultados a la Dirección, a las Gerencias de las Empresas y a Secretaria de Hacienda. 
* Elaboración de la presentación en la parte financiera para comité de gerentes, sobre el  resultado del seguimiento con corte Diciembre de 2014 de los PSFF, y los PDIFF.</t>
    </r>
  </si>
  <si>
    <t>Asesoría y seguimiento a las Empresas Administradoras  de los  Planes de Beneficios - EAPB en el proceso de implementación y ejecución de lo contemplado en el Plan Territorial de Salud 2012-2016</t>
  </si>
  <si>
    <t xml:space="preserve">Plan de Salud  cuatrienal anualizado por asegurador </t>
  </si>
  <si>
    <r>
      <rPr>
        <b/>
        <sz val="8"/>
        <rFont val="Tahoma"/>
        <family val="2"/>
      </rPr>
      <t>JUNIO:</t>
    </r>
    <r>
      <rPr>
        <sz val="8"/>
        <rFont val="Tahoma"/>
        <family val="2"/>
      </rPr>
      <t xml:space="preserve">
Participación en la reunión semanal del grupo interdirecciones de las EAPB.
Preparación de la mesa de aseguradoras.
Análisis de los temas a tratar en la mesa de aseguradoras.
Revisión de indicadores del Plan  Territorial de Salud cuya responsabilidad es de las EAPB.  
Asesoría técnica a las EAPB en el desarrollo de las acciones que le aportan al Plan Territorial de Salud por medio de las mesas de aseguradoras que se llevan cabo de forma mensual .
</t>
    </r>
  </si>
  <si>
    <t>Asistencia técnica para la formulación, ejecución, seguimiento y evaluación de los proyectos de inversión del Fondo Financiero Distrital de Salud en el marco del Plan de Desarrollo "Bogotá Humana" 2012-2016</t>
  </si>
  <si>
    <t xml:space="preserve">Número de Proyectos del Fondo Financiero de Salud implementados </t>
  </si>
  <si>
    <r>
      <rPr>
        <b/>
        <sz val="8"/>
        <rFont val="Tahoma"/>
        <family val="2"/>
      </rPr>
      <t>JUNIO:</t>
    </r>
    <r>
      <rPr>
        <sz val="8"/>
        <rFont val="Tahoma"/>
        <family val="2"/>
      </rPr>
      <t xml:space="preserve">
*Se revisó el seguimiento técnico financiero de los 18 proyectos de inversión del Fondo Financiero Distrital de Salud con corte a Junio 30 de 2015.
*Ajustes al documento preliminar Balance de resultados 2012-2014, con énfasis en las metas del PIC ( que incluye los Proyectos de Inversión 869- Salud Para el Buen Vivir y el 885- Salud Ambiental)
* Se realiza la actualización en las fichas EBI correspondiente al seguimiento con corte al mes de mayo(financiero)
* Se generan los reportes de definitivos de los componentes de gestión, inversión, actividades y territorialización para realizar la revisión y ajustes en común acuerdo con la Secretaría de Planeación Distrital.
</t>
    </r>
    <r>
      <rPr>
        <sz val="8"/>
        <color indexed="10"/>
        <rFont val="Tahoma"/>
        <family val="2"/>
      </rPr>
      <t xml:space="preserve">* Se realizan los ajustes pertinentes a las matrices de seguimiento del Plan de Desarrollo Bogotá Humana por proyectos para realizar el seguimiento al mes de Mayo de 2015.
* Se realiza matriz de análisis a la ejecución por Proyecto de Inversión del Fondo Financiero Distrital de Salud, con corte a mayo 30 de 2015.
</t>
    </r>
    <r>
      <rPr>
        <sz val="8"/>
        <color indexed="10"/>
        <rFont val="Tahoma"/>
        <family val="2"/>
      </rPr>
      <t xml:space="preserve">
</t>
    </r>
  </si>
  <si>
    <t>Evaluación y registro de los proyectos de las Empresas Sociales del Estado</t>
  </si>
  <si>
    <t xml:space="preserve">Número de proyectos evaluados e inscritos de las Empresas Sociales del Estado </t>
  </si>
  <si>
    <t>Evaluados: 218
Inscritos: 72</t>
  </si>
  <si>
    <r>
      <rPr>
        <b/>
        <sz val="8"/>
        <rFont val="Tahoma"/>
        <family val="2"/>
      </rPr>
      <t>JUNIO:
*</t>
    </r>
    <r>
      <rPr>
        <sz val="8"/>
        <rFont val="Tahoma"/>
        <family val="2"/>
      </rPr>
      <t xml:space="preserve">Se realiza análisis, de los proyectos inscritos en Plan Bienal de Inversiones en Salud, realizando los respectivos conceptos integrales, los cuales se direccionan al Ministerio de Salud y Protección Social, para concepto técnico de viabilidad.
*Con base en la evaluación realizada a cada uno de los proyectos de inversión presentados por las Empresas Sociales del Estado.  Se emitieron durante el periodo de junio  20 conceptos técnicos.
*Se brindaron las respectivas asesorías y asistencia técnica  a los referentes de proyectos de las Empresas Sociales del Estado, para consolidar las cuatro carpetas, las cuales se presentaran al Ministerio de Salud y Protección Social, para evaluación técnica.  La Victoria, Kennedy, Fontibon, Tunjuelito.
* Se da Asesoría y asistencia a las ESE en todo lo referente a para la formulación, seguimiento y  evaluación de proyectos de las Empresas Sociales del Estado de la red adscrita. Se revisaron 128 proyectos, así: , Bosa 3Centro Oriente 3, Chapinero 1,  Engativá 2, Fontibón 4, H del Sur 2, Kennedy 10, Meissen 3, Pablo VI 7, Rafael Uribe 19, San Blas 6, San Cristóbal 8, Santa Clara 2, Simón Bolívar 4, Suba 6,  Tunal 2,Tunjuelito 6, Usaquen 3,  Usme 14, Victoria 11 y Vista Hermosa 12.
</t>
    </r>
  </si>
  <si>
    <t>Articulación de instancias de coordinación distrital, local e institucional con el fin de establecer acciones  sectoriales e intersectoriales para el  seguimiento de políticas de salud y la gestión de los diferentes actores e instituciones de salud del D.C.</t>
  </si>
  <si>
    <t xml:space="preserve">INDICADOR: % de avance en la articulación de acciones  con las diferentes instancias de coordinación sectoriales e intersectoriales para el seguimiento de políticas de salud.
</t>
  </si>
  <si>
    <r>
      <rPr>
        <b/>
        <sz val="8"/>
        <rFont val="Tahoma"/>
        <family val="2"/>
      </rPr>
      <t>JUNIO:</t>
    </r>
    <r>
      <rPr>
        <sz val="8"/>
        <rFont val="Tahoma"/>
        <family val="2"/>
      </rPr>
      <t xml:space="preserve">
*Con el propósito de apoyar las acciones de programación, seguimiento y evaluación de los programas y proyectos locales, se realiza el seguimiento y aprobación  a los proyectos de inversión de las metas relacionadas con Infancia y Adolescencia  para cada una de las localidades, correspondientes a los meses de  marzo y abril  de 2015
* Revisión y análisis de los indicadores de gestión del sector salud   y  ajuste a los indicadores del grupo de RIPS con la Alta Consejería.
*Consolidacion informe de Gestion preliminar 2012-2014.
* Participacion en la elaboración de la metodología y en la matriz - Balance de la Política de SPA”. 
*Participacion en la elaboración del documento preliminar de la formulación de la Politica de Habitante de Calle. 
*Se realiza el seguimiento y evaluación a la implementación del Plan de acción Política de Infancia y Adolescencia 2012-2016, sector salud .
</t>
    </r>
  </si>
  <si>
    <t>Implementación de directrices y lineamientos impartidos por organismos de  dirección, vigilancia y control en salud, del orden distrital y nacional.</t>
  </si>
  <si>
    <t xml:space="preserve">INDICADOR: % de avance en la implementación de directrices y lineamientos impartidos por organismos de dirección, vigilancia y control.
</t>
  </si>
  <si>
    <r>
      <rPr>
        <b/>
        <sz val="8"/>
        <rFont val="Tahoma"/>
        <family val="2"/>
      </rPr>
      <t xml:space="preserve">JUNIO:
</t>
    </r>
    <r>
      <rPr>
        <sz val="8"/>
        <rFont val="Tahoma"/>
        <family val="2"/>
      </rPr>
      <t xml:space="preserve">*Realizar el seguimiento mensual al  Presupuesto Orientado a Resultados - POR con corte a Mayo 31 del  2015 de la Secretaría Distrital de Salud y del Fondo Financiero Distrital.  
*Se reviso la matriz del presupuesto asignado y ejecutado periodo 2012-2016 para cada una  de las metas y actividades asociadas a la política  pública de Infancia y Adolescencia. 
*Elaborar documento análisis situación del sector salud en Bogotá D. C. y prospectivas periodo 2016-2020.
* Se diligenciaron los formatos para la Contraloría de Bogotá de la Dirección de Planeación Sectorial de las novedades contractuales del mes de mayode 2015.
* Diligenciar la matriz del POA de avance mensual de Mayo de 2015.
*Se realizó la matriz con las precisiones de las metas plan de desarrollo sin recursos para la vigencia 2014. Solicitado por Secretaría Distrital de planeación.
*Se realizó matriz con la solicitud de la Directiva 009 de 2015.
* Se realizó el cruce de metas del Decreto 3039 de 2007 Plan Nacional de Salud Pública, Resolución 425 de 2008, Plan de Desarrollo y Plan Territorial de salud Acuerdo 489 de 2012.
* Elaboración de presentación de cumplimiento de metas a 31 de diciembre de 2014 para la Secretaría Distrital de Planeación. </t>
    </r>
  </si>
  <si>
    <t>Desarrollo de estrategias que  optimicen los recursos humanos, financieros y técnicos, destinados a la implementación de políticas de salud.</t>
  </si>
  <si>
    <t xml:space="preserve">INDICADOR: % de avance en el desarrollo de estrategias propuestas para optimizar recursos humanos, financieros y técnicos destinados a la implementación de políticas de salud.
</t>
  </si>
  <si>
    <r>
      <rPr>
        <b/>
        <sz val="8"/>
        <rFont val="Tahoma"/>
        <family val="2"/>
      </rPr>
      <t xml:space="preserve">JUNIO: 
</t>
    </r>
    <r>
      <rPr>
        <sz val="8"/>
        <rFont val="Tahoma"/>
        <family val="2"/>
      </rPr>
      <t xml:space="preserve">Revisión y evaluar los avances, seguimientos del tablero de control y grupos poblacionales.
Matriz con las precisiones de las metas plan de desarrollo sin recursos para la vigencia 2014. Solicitado por Secretaría Distrital de planeación.
Se realizó la propuesta presentación de logros del Plan de Desarrollo Bogotá Humana 2012-2016.
Se realizó la consolidación del componente técnico y financiero de 17 proyectos del FFDS correspondiente a los meses de febrero y marzo de 2015
</t>
    </r>
  </si>
  <si>
    <t>Espacios de análisis entre las distintas dependencias de la Secretaría Distrital de Salud,  Empresas Sociales del Estado, y los demás Sectores del Sistema General de Seguridad Social en Salud que permita la integración y unificación de los conceptos, procesos e instrumentos para garantizar la adecuada ejecución del Plan Territorial de Salud</t>
  </si>
  <si>
    <t>Número de documento técnico de análisis de metas del Plan Territorial de Salud</t>
  </si>
  <si>
    <r>
      <rPr>
        <b/>
        <sz val="8"/>
        <rFont val="Tahoma"/>
        <family val="2"/>
      </rPr>
      <t>JUNIO:</t>
    </r>
    <r>
      <rPr>
        <sz val="8"/>
        <rFont val="Tahoma"/>
        <family val="2"/>
      </rPr>
      <t xml:space="preserve">
*Elaboración reporte de resultados RIPS, aprobados o rechazados según validación por día para las distintas redes: Red Adscrita, Escolaridad y Red de Urgencias. 
*Actualización en el documento de análisis de concordancia entre los sistemas de información RIPS y SIVIGILA para los eventos Tuberculosis, meningitis, sífilis congénita, VIH en aspectos relacionados con la búsqueda de datos asociados con las atenciones para los eventos de análisis en el aplicativo SISPRO, con la finalidad establecer el índice de kappa para cada uno de ellos.
*Actualización de el documento de Modelo estadístico epidemiológico seguimiento a evento mortalidad materna en Bogotá periodo 2012 - 2014 
en aspectos relacionados con hallazgos, conclusiones.
*Ajuste y  documentación de la matriz de Plan de análisis de información de forma mensual con base en los datos reportados en los RIPS durante este periodo, para las siguientes salidas.( enfermedades huérfanas, trastornos del sueño.
*Consolidación de la información para incluir en el Boletín de estadísticas del año 2014 de las siguientes Direcciones o áreas Misionales: Laboratorio de salud pública, aseguramiento, SISVAN. 
*Documentos finales de análisis de información de EDA y desnutrición pendiente revisión.
</t>
    </r>
  </si>
  <si>
    <t>Análisis de la situación de salud de la población del Distrito Capital a las metas de impacto de mortalidad evitable del Plan  de Desarrollo Bogotá Humana y del Territorial de Salud 2012 - 2016.</t>
  </si>
  <si>
    <r>
      <rPr>
        <b/>
        <sz val="8"/>
        <rFont val="Tahoma"/>
        <family val="2"/>
      </rPr>
      <t>JUNIO:</t>
    </r>
    <r>
      <rPr>
        <sz val="8"/>
        <rFont val="Tahoma"/>
        <family val="2"/>
      </rPr>
      <t xml:space="preserve">
* Elaboración del documento de informe definitivo del Acuerdo 489 de 2012 con el análisis y comportamiento de las metas de impacto, mortalidad evitable por localidad en el distrito capital. El análisis se realiza con corte a diciembre de 2014. 
*Elaboración y actualización de matriz serie de tiempo del comportamiento de la mortalidad evitable en el distrito capital. La serie de tiempo se presenta por localidad en el periodo 2001 a 2014.
*Documento Serie Estadística de casos y tasas de Mortalidades evitables 2008 – 2014, como insumo para estimar las funciones.
*Documento conteniendo formulación de metodología estadística en los proyectos de investigación Colciencias Mortalidad Materna y Perinatal de Bogotá. </t>
    </r>
  </si>
  <si>
    <t>Análisis, seguimiento y evaluación de los compromisos contemplados en el Plan Territorial de salud y el Plan de Desarrollo Bogotá Humana 2012-2016</t>
  </si>
  <si>
    <t xml:space="preserve">Número de Documentos técnicos de análisis, seguimiento y evaluación de los compromisos del Plan Territorial de Salud </t>
  </si>
  <si>
    <r>
      <rPr>
        <b/>
        <sz val="8"/>
        <rFont val="Tahoma"/>
        <family val="2"/>
      </rPr>
      <t>JUNIO:</t>
    </r>
    <r>
      <rPr>
        <sz val="8"/>
        <rFont val="Tahoma"/>
        <family val="2"/>
      </rPr>
      <t xml:space="preserve">
*Análisis de las metas propuestas en el Plan de Desarrollo “Bogotá Humana” y del Plan Territorial de Salud, clasificando las metas cumplidas y las que se encuentran retrasadas en el logro, igualmente se clasificaron las metas con inclusión de códigos para facilitar el seguimiento y análisis.
*Actualización del avance de las metas, propuestas en el Plan de Desarrollo. Las metas se clasifican y codifican para el analisis comparativo de metas de impacto, del Plan de Desarrollo 2012-2016 y del Plan Territorial de Salud.
* Se realizo el seguimiento al cumplimiento de las metas del Plan Desarrollo Bogotá Humana vigencia 2015.
* Documento conteniendo la estimación estadística valorizada  de población Bogotá  subsidiada 2014, como insumo para la planeación de redes.
</t>
    </r>
  </si>
  <si>
    <t>Diseño e implementación de instrumentos de formulación, implementación, seguimiento y control de planes programas y proyectos del sector salud del Distrito Capital.</t>
  </si>
  <si>
    <t>Número de Documentos técnicos implementados</t>
  </si>
  <si>
    <r>
      <rPr>
        <b/>
        <sz val="8"/>
        <rFont val="Tahoma"/>
        <family val="2"/>
      </rPr>
      <t>JUNIO:</t>
    </r>
    <r>
      <rPr>
        <sz val="8"/>
        <rFont val="Tahoma"/>
        <family val="2"/>
      </rPr>
      <t xml:space="preserve">
* Durante el mes de junio,  se realizó un análisis de las líneas de inversión para el sector salud de las Localidades.</t>
    </r>
  </si>
  <si>
    <t xml:space="preserve">Acreditar la Secretaria Distrital de Salud como Dirección Territorial de Salud, al 2016. </t>
  </si>
  <si>
    <t>Asistencia técnica a los grupos de Acreditación de la SDS para la  autoevaluación  de estándares de acreditación y el diseño de los planes de mejoramiento</t>
  </si>
  <si>
    <t xml:space="preserve">Número de asistencias técnicas para la acreditación en salud
</t>
  </si>
  <si>
    <t>Autoevaluación anual de Acreditación  en salud de la SDS</t>
  </si>
  <si>
    <t xml:space="preserve">Número  de Autoevaluaciones de acreditación /año </t>
  </si>
  <si>
    <t>Implementación de planes de acreditación en salud</t>
  </si>
  <si>
    <t>Planes de mejora de acreditación implementados</t>
  </si>
  <si>
    <r>
      <t>% de avance de lineamientos</t>
    </r>
    <r>
      <rPr>
        <sz val="9"/>
        <color indexed="8"/>
        <rFont val="Calibri"/>
        <family val="2"/>
      </rPr>
      <t xml:space="preserve"> </t>
    </r>
    <r>
      <rPr>
        <b/>
        <sz val="9"/>
        <color indexed="8"/>
        <rFont val="Calibri"/>
        <family val="2"/>
      </rPr>
      <t>institucionales para la sostenibilidad y mejora continua del SGC</t>
    </r>
    <r>
      <rPr>
        <sz val="9"/>
        <color indexed="8"/>
        <rFont val="Calibri"/>
        <family val="2"/>
      </rPr>
      <t xml:space="preserve">
</t>
    </r>
  </si>
  <si>
    <r>
      <rPr>
        <b/>
        <sz val="8"/>
        <rFont val="Tahoma"/>
        <family val="2"/>
      </rPr>
      <t>JUNIO:</t>
    </r>
    <r>
      <rPr>
        <sz val="8"/>
        <rFont val="Tahoma"/>
        <family val="2"/>
      </rPr>
      <t xml:space="preserve">
Con respecto al proceso de planeación institucional se continua con la revisión mensual de los reportes de seguimiento al POA de los meses abril - mayo 2015, se brinda asesoría a la Dirección de Análisis de Entidades Públicas en relación con la metodología de formulación y reporte del POA, se documentan las aclaraciones de la metodología de seguimiento al POA 2015.
Se realizan verificaciones sobre los posibles inconvenientes surtidos a lo largo del proceso de migración de la gestión documental y se reportan al ing. Luis Carlos Martínez para que proceda a realizar las accIones correctivas en el aplicativo ISOLUCION.</t>
    </r>
  </si>
  <si>
    <r>
      <t xml:space="preserve">%  de cumplimiento de las actividades realizadas por las direcciones </t>
    </r>
    <r>
      <rPr>
        <sz val="9"/>
        <color indexed="8"/>
        <rFont val="Calibri"/>
        <family val="2"/>
      </rPr>
      <t xml:space="preserve">
</t>
    </r>
  </si>
  <si>
    <r>
      <rPr>
        <b/>
        <sz val="8"/>
        <rFont val="Tahoma"/>
        <family val="2"/>
      </rPr>
      <t>JUNIO:</t>
    </r>
    <r>
      <rPr>
        <sz val="8"/>
        <rFont val="Tahoma"/>
        <family val="2"/>
      </rPr>
      <t xml:space="preserve">
Se reaiza soporte y gestión de casos de ISOLUCIÓN, con base en los diferentes reportes realizados por los gestores y referentes frente al proceso de migración documental (41 casos reportados) durante lo corrido del mes. De igual manera, se realiza la revisión de la matriz de migración documental ajustada en aquellos documentos que presentaban inconsistencia en la codificación, actividad realizada en  6 procesos de apoyo, 1  proceso de evaluación y 1  proceso misional.
Frente al manejo de ISOLUCIÓN, se realiza capacitación a los gestores SIG de todos los procesos.</t>
    </r>
  </si>
  <si>
    <t xml:space="preserve">Número de asesorías y asistencias técnicas en SGC </t>
  </si>
  <si>
    <r>
      <rPr>
        <b/>
        <sz val="8"/>
        <rFont val="Tahoma"/>
        <family val="2"/>
      </rPr>
      <t>JUNIO:</t>
    </r>
    <r>
      <rPr>
        <sz val="8"/>
        <rFont val="Tahoma"/>
        <family val="2"/>
      </rPr>
      <t xml:space="preserve">
Durante el mes de junio se realizaron 70 asesorías en temas de: actualización de formatos en todos los procesos de la Entidad, resolución de casos isolución reportados por usuarios, asesorías sobre metodología de formulación y reporte del POA, aclaraciones y asesorías sobre proceso de migración documental y actualización de la gestión documental, indicadores transversales del SIG, generalidades del SIG a nuevos referentes y gestores, levantamiento de nuevos procedimientos, tratamiento producto no conforme, actividades de los subsistemas integrados y acciones correctivas producto de auditoria ICONTEC, entre otros.</t>
    </r>
  </si>
  <si>
    <r>
      <rPr>
        <b/>
        <sz val="8"/>
        <rFont val="Tahoma"/>
        <family val="2"/>
      </rPr>
      <t>JUNIO:</t>
    </r>
    <r>
      <rPr>
        <sz val="8"/>
        <rFont val="Tahoma"/>
        <family val="2"/>
      </rPr>
      <t xml:space="preserve">
Se llevan a cabo reuniones entre el Archivo Central y los gestores y referentes de archivo de cada proceso para dar a conocer los lineamientos para la actualización de las Tablas de retención documental (TRD) y elaboración de Cuadros de caracterización documental. 
Se surten reuniones con los referentes TIC para establecer una estrategia de socialización de las políticas de seguridad de la información.
Elaboración y revisión en mesa de trabajo con la OCI y Jurídica del procedimiento Gestión de Cumplimiento de lo Legal.  Actualización del procedimiento de medición de satisfacción del cliente.
Definición de los indicadores de gestión con base en la Guia de la Alcaldía Mayor, establecer la caracterización socio demográfica de TH para la SDS.
Se presentó propuesta de mapa de riesgos de corrupción transversal para ser revisado y avalado por la alta dirección.</t>
    </r>
  </si>
  <si>
    <r>
      <rPr>
        <b/>
        <sz val="8"/>
        <rFont val="Tahoma"/>
        <family val="2"/>
      </rPr>
      <t>JUNIO:</t>
    </r>
    <r>
      <rPr>
        <sz val="8"/>
        <rFont val="Tahoma"/>
        <family val="2"/>
      </rPr>
      <t xml:space="preserve">
Se reportan las mismas actividades desarrolladas para la meta del sistema de gestión de calidad, en tanto estas también aportan a la implementación del sistema integrado de gestión.</t>
    </r>
  </si>
  <si>
    <r>
      <t xml:space="preserve">Porcentaje de cumplimiento de las actividades desarrolladas </t>
    </r>
    <r>
      <rPr>
        <sz val="9"/>
        <color indexed="8"/>
        <rFont val="Calibri"/>
        <family val="2"/>
      </rPr>
      <t xml:space="preserve">
</t>
    </r>
  </si>
  <si>
    <r>
      <rPr>
        <b/>
        <sz val="8"/>
        <rFont val="Tahoma"/>
        <family val="2"/>
      </rPr>
      <t>JUNIO:</t>
    </r>
    <r>
      <rPr>
        <sz val="8"/>
        <rFont val="Tahoma"/>
        <family val="2"/>
      </rPr>
      <t xml:space="preserve">
Se llevan a cabo diferentes campañas y actividades que fueron incluidas en el Plan Institucional de Gestión Ambiental (PIGA) y aprobadas por el Comité de Gestión Ambiental. Estas son:  Participación y seguimiento a la entrega de plántulas de guayaba blanca como parte de las actividades de celebración de la semana ambiental-4 de junio de 2015,  realización, asesoría y seguimiento a la actividad denominada: “5 ESES” realizada en la entidad principalmente en el área correspondiente a Planeación Institucional y calidad y de apoyo en el área de la Dirección de Calidad en Servicios de Salud-5 de junio de 2015 y  presentación de resultados de evaluación y de evidencias fotográficas de los puestos de trabajo en el comité de Gestión Ambiental.</t>
    </r>
  </si>
  <si>
    <r>
      <rPr>
        <b/>
        <sz val="8"/>
        <rFont val="Tahoma"/>
        <family val="2"/>
      </rPr>
      <t>JUNIO:</t>
    </r>
    <r>
      <rPr>
        <sz val="8"/>
        <rFont val="Tahoma"/>
        <family val="2"/>
      </rPr>
      <t xml:space="preserve">
Se continúa con la socialización del nuevo mapa de procesos, para este mes se desarrolla capacitación en los procesos de Gestión en Salud Pública  - Laboratorio de Salud Pública, Asegurar Salud, Gestión de Urgencias, Emergencias y Desastres, Calidad de Servicios de Salud y Provisión de Servicios de Salud, Gestión TIC, Gestión Bienes y Servicios, Gestión Financiera De igual manera, se realiza la tabulación de las pruebas de adherencia aplicadas a los procesos frente a estas capacitaciones
El proceso continúa con la actualización del normograma institucional de acuerdo con nuevo mapa de procesos. 
Se lleva a cabo reunión con gestores del  proceso Gestión Salud Pública para veirficar el reporte y acciones del producto no conforme. De igual manera, se realizó con los procesos de Gestión de Urgencias, Emergencias y Desastres, Provisión de Servicios, Calidad de Servicios de Salud y Asegurar Salud.
Se realiza verificación al avance de las acciones correctivas producto de las no conformidades determinadas en la Auditoria Icontec.</t>
    </r>
  </si>
  <si>
    <r>
      <rPr>
        <b/>
        <sz val="8"/>
        <rFont val="Tahoma"/>
        <family val="2"/>
      </rPr>
      <t>JUNIO:</t>
    </r>
    <r>
      <rPr>
        <sz val="8"/>
        <rFont val="Tahoma"/>
        <family val="2"/>
      </rPr>
      <t xml:space="preserve">
Conjuntamente con la Oficina de Control Interno, se da inicio al proceso de planeación de las Auditorias Internas de Calidad, donde la Dirección de Planeación Institucional realizará el acompañamiento técnico al equipo de Auditores de Calidad y participará en los ejercicios de campo en algunos de los procesos designados.  Este trabajo incluye la revisión documental del proceso Evaluación, Seguimiento y Control a la Gestión en conjunto con el profesional delegado por el Líder de dicho proceso, la convocatoria al grupo auditor y el acompañamiento y revisión en el levantamiento de las listas de verificación, entre otros aspectos.</t>
    </r>
  </si>
  <si>
    <r>
      <rPr>
        <b/>
        <sz val="8"/>
        <rFont val="Tahoma"/>
        <family val="2"/>
      </rPr>
      <t>JUNIO:</t>
    </r>
    <r>
      <rPr>
        <sz val="8"/>
        <rFont val="Tahoma"/>
        <family val="2"/>
      </rPr>
      <t xml:space="preserve">
El sistema de gestión de calidad ya se encuentra certificado en las normas ISO 9001:2008 y NTCGP 1000:2009. Durante este mes se continua con la gestión contractual del contrato con Icontec permitiendo la suscripción y publicación del mismo, que tiene como objeto "Prestar servicios para el mantenimiento de la certificación de calidad bajo la norma NTCGP 1000:2009 e ISO 9001:2008 y el diagnóstico de los subsistemas de seguridad de la información y seguridad y salud en el trabajo".</t>
    </r>
  </si>
  <si>
    <t>Total general</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</si>
</sst>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8" formatCode="_(&quot;$&quot;\ * #,##0_);_(&quot;$&quot;\ * \(#,##0\);_(&quot;$&quot;\ * &quot;-&quot;_);_(@_)"/>
    <numFmt numFmtId="169" formatCode="_(* #,##0_);_(* \(#,##0\);_(* &quot;-&quot;_);_(@_)"/>
    <numFmt numFmtId="170" formatCode="_(&quot;$&quot;\ * #,##0.00_);_(&quot;$&quot;\ * \(#,##0.00\);_(&quot;$&quot;\ * &quot;-&quot;??_);_(@_)"/>
    <numFmt numFmtId="171" formatCode="_(* #,##0.00_);_(* \(#,##0.00\);_(*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3" formatCode="0.000000000000"/>
    <numFmt numFmtId="204" formatCode="#,##0.00000000000000000000000000000000000000"/>
    <numFmt numFmtId="208" formatCode="#,##0.000000000000000"/>
    <numFmt numFmtId="209" formatCode="0.00000000"/>
    <numFmt numFmtId="210" formatCode="_-* #,##0.00000000000\ _€_-;\-* #,##0.00000000000\ _€_-;_-* &quot;-&quot;???????????\ _€_-;_-@_-"/>
    <numFmt numFmtId="228" formatCode="_(&quot;$&quot;\ * #,##0_);_(&quot;$&quot;\ * \(#,##0\);_(&quot;$&quot;\ * &quot;-&quot;??_);_(@_)"/>
    <numFmt numFmtId="229" formatCode="_-* #,##0_-;\-* #,##0_-;_-* &quot;-&quot;??_-;_-@_-"/>
  </numFmts>
  <fonts count="113">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26"/>
      <color indexed="8"/>
      <name val="Calibri"/>
      <family val="2"/>
    </font>
    <font>
      <b/>
      <sz val="12"/>
      <color indexed="9"/>
      <name val="Calibri"/>
      <family val="2"/>
    </font>
    <font>
      <b/>
      <sz val="16"/>
      <color indexed="9"/>
      <name val="Calibri"/>
      <family val="2"/>
    </font>
    <font>
      <sz val="11"/>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2"/>
      <color indexed="8"/>
      <name val="Tahoma"/>
      <family val="2"/>
    </font>
    <font>
      <sz val="12"/>
      <color indexed="8"/>
      <name val="Arial"/>
      <family val="2"/>
    </font>
    <font>
      <sz val="12"/>
      <color indexed="9"/>
      <name val="Calibri"/>
      <family val="2"/>
    </font>
    <font>
      <sz val="10"/>
      <color indexed="8"/>
      <name val="Tahoma"/>
      <family val="2"/>
    </font>
    <font>
      <sz val="10"/>
      <name val="Tahoma"/>
      <family val="2"/>
    </font>
    <font>
      <sz val="11"/>
      <color indexed="8"/>
      <name val="Tahoma"/>
      <family val="2"/>
    </font>
    <font>
      <b/>
      <sz val="11"/>
      <color indexed="8"/>
      <name val="Tahoma"/>
      <family val="2"/>
    </font>
    <font>
      <sz val="11"/>
      <name val="Tahoma"/>
      <family val="2"/>
    </font>
    <font>
      <sz val="11"/>
      <color indexed="9"/>
      <name val="Tahoma"/>
      <family val="2"/>
    </font>
    <font>
      <sz val="8"/>
      <color indexed="9"/>
      <name val="Calibri"/>
      <family val="2"/>
    </font>
    <font>
      <sz val="12"/>
      <name val="Tahoma"/>
      <family val="2"/>
    </font>
    <font>
      <b/>
      <sz val="12"/>
      <color indexed="10"/>
      <name val="Tahoma"/>
      <family val="2"/>
    </font>
    <font>
      <sz val="8"/>
      <name val="Tahoma"/>
      <family val="2"/>
    </font>
    <font>
      <sz val="11"/>
      <name val="Arial"/>
      <family val="2"/>
    </font>
    <font>
      <sz val="11"/>
      <color indexed="17"/>
      <name val="Calibri"/>
      <family val="2"/>
    </font>
    <font>
      <b/>
      <sz val="11"/>
      <color indexed="52"/>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sz val="26"/>
      <color indexed="10"/>
      <name val="Calibri"/>
      <family val="2"/>
    </font>
    <font>
      <sz val="9"/>
      <color indexed="8"/>
      <name val="Arial"/>
      <family val="2"/>
    </font>
    <font>
      <sz val="9"/>
      <name val="Arial"/>
      <family val="2"/>
    </font>
    <font>
      <b/>
      <sz val="9"/>
      <name val="Arial"/>
      <family val="2"/>
    </font>
    <font>
      <b/>
      <sz val="9"/>
      <color indexed="8"/>
      <name val="Arial"/>
      <family val="2"/>
    </font>
    <font>
      <b/>
      <sz val="9"/>
      <color indexed="10"/>
      <name val="Arial"/>
      <family val="2"/>
    </font>
    <font>
      <b/>
      <sz val="12"/>
      <color indexed="10"/>
      <name val="Arial"/>
      <family val="2"/>
    </font>
    <font>
      <sz val="9"/>
      <name val="Calibri"/>
      <family val="2"/>
    </font>
    <font>
      <sz val="9"/>
      <color indexed="8"/>
      <name val="Calibri"/>
      <family val="2"/>
    </font>
    <font>
      <sz val="9"/>
      <color indexed="8"/>
      <name val="Tahoma"/>
      <family val="2"/>
    </font>
    <font>
      <sz val="9"/>
      <color indexed="8"/>
      <name val="Arial Narrow"/>
      <family val="2"/>
    </font>
    <font>
      <b/>
      <sz val="9"/>
      <color indexed="8"/>
      <name val="Arial Narrow"/>
      <family val="2"/>
    </font>
    <font>
      <sz val="9"/>
      <color indexed="10"/>
      <name val="Arial Narrow"/>
      <family val="2"/>
    </font>
    <font>
      <sz val="9"/>
      <name val="Arial Narrow"/>
      <family val="2"/>
    </font>
    <font>
      <b/>
      <sz val="12"/>
      <color indexed="10"/>
      <name val="Calibri"/>
      <family val="2"/>
    </font>
    <font>
      <b/>
      <sz val="11"/>
      <name val="Calibri"/>
      <family val="2"/>
    </font>
    <font>
      <sz val="9"/>
      <name val="Verdana"/>
      <family val="2"/>
    </font>
    <font>
      <sz val="8"/>
      <color indexed="8"/>
      <name val="Arial Narrow"/>
      <family val="2"/>
    </font>
    <font>
      <b/>
      <sz val="8"/>
      <color indexed="8"/>
      <name val="Arial Narrow"/>
      <family val="2"/>
    </font>
    <font>
      <sz val="8"/>
      <color indexed="62"/>
      <name val="Arial Narrow"/>
      <family val="2"/>
    </font>
    <font>
      <sz val="8"/>
      <name val="Arial Narrow"/>
      <family val="2"/>
    </font>
    <font>
      <b/>
      <sz val="8"/>
      <name val="Arial Narrow"/>
      <family val="2"/>
    </font>
    <font>
      <b/>
      <sz val="9"/>
      <name val="Arial Narrow"/>
      <family val="2"/>
    </font>
    <font>
      <sz val="12"/>
      <name val="Calibri"/>
      <family val="2"/>
    </font>
    <font>
      <b/>
      <sz val="8"/>
      <name val="Tahoma"/>
      <family val="2"/>
    </font>
    <font>
      <sz val="8"/>
      <color indexed="8"/>
      <name val="Arial"/>
      <family val="2"/>
    </font>
    <font>
      <b/>
      <sz val="9"/>
      <color indexed="8"/>
      <name val="Calibri"/>
      <family val="2"/>
    </font>
    <font>
      <sz val="9"/>
      <color indexed="10"/>
      <name val="Calibri"/>
      <family val="2"/>
    </font>
    <font>
      <sz val="8"/>
      <color indexed="8"/>
      <name val="Tahoma"/>
      <family val="2"/>
    </font>
    <font>
      <b/>
      <sz val="8"/>
      <color indexed="8"/>
      <name val="Tahoma"/>
      <family val="2"/>
    </font>
    <font>
      <sz val="8"/>
      <color indexed="10"/>
      <name val="Tahoma"/>
      <family val="2"/>
    </font>
    <font>
      <sz val="12"/>
      <color indexed="10"/>
      <name val="Calibri"/>
      <family val="2"/>
    </font>
    <font>
      <b/>
      <sz val="9"/>
      <name val="Calibri"/>
      <family val="2"/>
    </font>
    <font>
      <b/>
      <sz val="9"/>
      <color indexed="10"/>
      <name val="Calibri"/>
      <family val="2"/>
    </font>
    <font>
      <b/>
      <sz val="9"/>
      <color indexed="1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Calibri"/>
      <family val="2"/>
    </font>
    <font>
      <sz val="10"/>
      <color theme="1"/>
      <name val="Tahoma"/>
      <family val="2"/>
    </font>
    <font>
      <sz val="11"/>
      <color theme="1"/>
      <name val="Tahoma"/>
      <family val="2"/>
    </font>
    <font>
      <sz val="12"/>
      <color theme="1"/>
      <name val="Tahoma"/>
      <family val="2"/>
    </font>
    <font>
      <sz val="12"/>
      <color rgb="FF000000"/>
      <name val="Tahoma"/>
      <family val="2"/>
    </font>
    <font>
      <sz val="26"/>
      <color rgb="FFFF0000"/>
      <name val="Calibri"/>
      <family val="2"/>
    </font>
    <font>
      <sz val="9"/>
      <color theme="1"/>
      <name val="Arial"/>
      <family val="2"/>
    </font>
    <font>
      <sz val="9"/>
      <color theme="1"/>
      <name val="Calibri"/>
      <family val="2"/>
    </font>
    <font>
      <b/>
      <sz val="9"/>
      <color theme="1"/>
      <name val="Calibri"/>
      <family val="2"/>
    </font>
    <font>
      <sz val="8"/>
      <color theme="1"/>
      <name val="Tahoma"/>
      <family val="2"/>
    </font>
    <font>
      <sz val="12"/>
      <color rgb="FFFF000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4999699890613556"/>
        <bgColor indexed="64"/>
      </patternFill>
    </fill>
    <fill>
      <patternFill patternType="solid">
        <fgColor theme="3" tint="-0.24997000396251678"/>
        <bgColor indexed="64"/>
      </patternFill>
    </fill>
    <fill>
      <patternFill patternType="solid">
        <fgColor indexed="42"/>
        <bgColor indexed="64"/>
      </patternFill>
    </fill>
    <fill>
      <patternFill patternType="solid">
        <fgColor indexed="51"/>
        <bgColor indexed="64"/>
      </patternFill>
    </fill>
    <fill>
      <patternFill patternType="solid">
        <fgColor indexed="22"/>
        <bgColor indexed="64"/>
      </patternFill>
    </fill>
    <fill>
      <patternFill patternType="solid">
        <fgColor indexed="62"/>
        <bgColor indexed="64"/>
      </patternFill>
    </fill>
    <fill>
      <patternFill patternType="solid">
        <fgColor indexed="18"/>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thin"/>
      <right style="thin"/>
      <top>
        <color indexed="63"/>
      </top>
      <bottom style="thin"/>
    </border>
    <border>
      <left style="medium"/>
      <right style="thin"/>
      <top style="thin"/>
      <bottom style="thin"/>
    </border>
    <border>
      <left style="medium"/>
      <right>
        <color indexed="63"/>
      </right>
      <top style="thin"/>
      <bottom style="thin"/>
    </border>
    <border>
      <left style="thin"/>
      <right style="thin"/>
      <top style="thin"/>
      <bottom style="medium"/>
    </border>
    <border>
      <left>
        <color indexed="63"/>
      </left>
      <right style="thin">
        <color indexed="9"/>
      </right>
      <top style="thin">
        <color indexed="9"/>
      </top>
      <bottom style="thin">
        <color indexed="9"/>
      </bottom>
    </border>
    <border>
      <left>
        <color indexed="63"/>
      </left>
      <right>
        <color indexed="63"/>
      </right>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color indexed="9"/>
      </left>
      <right style="thin">
        <color indexed="9"/>
      </right>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style="thin">
        <color indexed="9"/>
      </left>
      <right style="thin">
        <color indexed="9"/>
      </right>
      <top>
        <color indexed="63"/>
      </top>
      <bottom style="thin"/>
    </border>
    <border>
      <left style="thin"/>
      <right>
        <color indexed="63"/>
      </right>
      <top style="thin">
        <color indexed="9"/>
      </top>
      <bottom style="thin">
        <color indexed="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border>
    <border>
      <left/>
      <right/>
      <top style="medium"/>
      <bottom/>
    </border>
    <border>
      <left/>
      <right style="medium"/>
      <top style="medium"/>
      <bottom/>
    </border>
    <border>
      <left style="thin"/>
      <right style="medium"/>
      <top style="thin"/>
      <bottom style="thin"/>
    </border>
    <border>
      <left style="medium"/>
      <right/>
      <top/>
      <bottom/>
    </border>
    <border>
      <left/>
      <right style="medium"/>
      <top/>
      <bottom/>
    </border>
    <border>
      <left style="medium"/>
      <right style="thin"/>
      <top style="thin"/>
      <bottom style="medium"/>
    </border>
    <border>
      <left style="thin"/>
      <right style="medium"/>
      <top style="thin"/>
      <bottom style="medium"/>
    </border>
    <border>
      <left style="medium"/>
      <right/>
      <top/>
      <bottom style="medium"/>
    </border>
    <border>
      <left/>
      <right/>
      <top/>
      <bottom style="medium"/>
    </border>
    <border>
      <left/>
      <right style="medium"/>
      <top/>
      <bottom style="medium"/>
    </border>
    <border>
      <left style="thin"/>
      <right style="thin"/>
      <top style="thin">
        <color indexed="9"/>
      </top>
      <bottom>
        <color indexed="63"/>
      </bottom>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medium"/>
      <right style="medium"/>
      <top style="medium"/>
      <bottom style="medium"/>
    </border>
    <border>
      <left>
        <color indexed="63"/>
      </left>
      <right style="thin">
        <color indexed="9"/>
      </right>
      <top>
        <color indexed="63"/>
      </top>
      <bottom>
        <color indexed="63"/>
      </bottom>
    </border>
    <border>
      <left/>
      <right style="thin">
        <color indexed="9"/>
      </right>
      <top/>
      <bottom style="thin"/>
    </border>
  </borders>
  <cellStyleXfs count="69">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7" fillId="20" borderId="0" applyNumberFormat="0" applyBorder="0" applyAlignment="0" applyProtection="0"/>
    <xf numFmtId="0" fontId="88" fillId="21" borderId="1" applyNumberFormat="0" applyAlignment="0" applyProtection="0"/>
    <xf numFmtId="0" fontId="89" fillId="22" borderId="2" applyNumberFormat="0" applyAlignment="0" applyProtection="0"/>
    <xf numFmtId="0" fontId="90" fillId="0" borderId="3" applyNumberFormat="0" applyFill="0" applyAlignment="0" applyProtection="0"/>
    <xf numFmtId="0" fontId="91" fillId="0" borderId="0" applyNumberFormat="0" applyFill="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6" borderId="0" applyNumberFormat="0" applyBorder="0" applyAlignment="0" applyProtection="0"/>
    <xf numFmtId="0" fontId="86" fillId="27" borderId="0" applyNumberFormat="0" applyBorder="0" applyAlignment="0" applyProtection="0"/>
    <xf numFmtId="0" fontId="86" fillId="28" borderId="0" applyNumberFormat="0" applyBorder="0" applyAlignment="0" applyProtection="0"/>
    <xf numFmtId="0" fontId="92"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93" fillId="31" borderId="0" applyNumberFormat="0" applyBorder="0" applyAlignment="0" applyProtection="0"/>
    <xf numFmtId="0" fontId="2" fillId="0" borderId="0">
      <alignment/>
      <protection/>
    </xf>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94" fillId="21" borderId="5"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98" fillId="0" borderId="6" applyNumberFormat="0" applyFill="0" applyAlignment="0" applyProtection="0"/>
    <xf numFmtId="0" fontId="99" fillId="0" borderId="7" applyNumberFormat="0" applyFill="0" applyAlignment="0" applyProtection="0"/>
    <xf numFmtId="0" fontId="91" fillId="0" borderId="8" applyNumberFormat="0" applyFill="0" applyAlignment="0" applyProtection="0"/>
    <xf numFmtId="0" fontId="100" fillId="0" borderId="9" applyNumberFormat="0" applyFill="0" applyAlignment="0" applyProtection="0"/>
  </cellStyleXfs>
  <cellXfs count="445">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6" fillId="0" borderId="0" xfId="0" applyFont="1" applyAlignment="1" applyProtection="1">
      <alignment/>
      <protection/>
    </xf>
    <xf numFmtId="0" fontId="4" fillId="33" borderId="12" xfId="0" applyFont="1" applyFill="1" applyBorder="1" applyAlignment="1" applyProtection="1">
      <alignment horizontal="center" vertical="center" wrapText="1"/>
      <protection/>
    </xf>
    <xf numFmtId="0" fontId="11"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3" fillId="33" borderId="10" xfId="0" applyFont="1" applyFill="1" applyBorder="1" applyAlignment="1" applyProtection="1">
      <alignment horizontal="center" vertical="center" wrapText="1"/>
      <protection/>
    </xf>
    <xf numFmtId="0" fontId="15"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6" fillId="0" borderId="0" xfId="0" applyFont="1" applyAlignment="1" applyProtection="1">
      <alignment horizontal="center"/>
      <protection/>
    </xf>
    <xf numFmtId="0" fontId="8" fillId="0" borderId="0" xfId="0" applyFont="1" applyAlignment="1" applyProtection="1">
      <alignment horizontal="center"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8" fillId="35" borderId="0" xfId="0" applyFont="1" applyFill="1" applyAlignment="1" applyProtection="1">
      <alignment horizontal="center" vertical="center"/>
      <protection/>
    </xf>
    <xf numFmtId="0" fontId="17" fillId="35" borderId="0" xfId="0" applyFont="1" applyFill="1" applyAlignment="1" applyProtection="1">
      <alignment horizontal="justify" vertical="center"/>
      <protection/>
    </xf>
    <xf numFmtId="0" fontId="11" fillId="33" borderId="13" xfId="0" applyFont="1" applyFill="1" applyBorder="1" applyAlignment="1" applyProtection="1">
      <alignment horizontal="center" vertical="center" wrapText="1"/>
      <protection/>
    </xf>
    <xf numFmtId="0" fontId="101" fillId="0" borderId="0" xfId="0" applyFont="1" applyFill="1" applyAlignment="1" applyProtection="1">
      <alignment vertical="center"/>
      <protection/>
    </xf>
    <xf numFmtId="0" fontId="101" fillId="0" borderId="0" xfId="0" applyFont="1" applyAlignment="1" applyProtection="1">
      <alignment vertical="center"/>
      <protection/>
    </xf>
    <xf numFmtId="0" fontId="26" fillId="34" borderId="0" xfId="0" applyFont="1" applyFill="1" applyAlignment="1" applyProtection="1">
      <alignment vertical="center"/>
      <protection/>
    </xf>
    <xf numFmtId="0" fontId="101" fillId="34" borderId="0" xfId="0" applyFont="1" applyFill="1" applyAlignment="1" applyProtection="1">
      <alignment horizontal="center" vertical="center"/>
      <protection/>
    </xf>
    <xf numFmtId="0" fontId="101" fillId="34" borderId="0" xfId="0" applyFont="1" applyFill="1" applyAlignment="1" applyProtection="1">
      <alignment vertical="center"/>
      <protection/>
    </xf>
    <xf numFmtId="0" fontId="101" fillId="34" borderId="0" xfId="0" applyFont="1" applyFill="1" applyAlignment="1" applyProtection="1">
      <alignment horizontal="left" vertical="center"/>
      <protection/>
    </xf>
    <xf numFmtId="0" fontId="101" fillId="0" borderId="0" xfId="0" applyFont="1" applyFill="1" applyAlignment="1" applyProtection="1">
      <alignment horizontal="left" vertical="center"/>
      <protection/>
    </xf>
    <xf numFmtId="0" fontId="101" fillId="0" borderId="0" xfId="0" applyFont="1" applyFill="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3" fillId="33" borderId="11" xfId="0" applyFont="1" applyFill="1" applyBorder="1" applyAlignment="1" applyProtection="1">
      <alignment horizontal="left" vertical="center" wrapText="1"/>
      <protection/>
    </xf>
    <xf numFmtId="0" fontId="13" fillId="33" borderId="11" xfId="0" applyFont="1" applyFill="1" applyBorder="1" applyAlignment="1" applyProtection="1">
      <alignment horizontal="center" vertical="center" wrapText="1"/>
      <protection/>
    </xf>
    <xf numFmtId="0" fontId="13" fillId="33" borderId="11" xfId="0" applyFont="1" applyFill="1" applyBorder="1" applyAlignment="1" applyProtection="1">
      <alignment horizontal="left" vertical="center" wrapText="1"/>
      <protection/>
    </xf>
    <xf numFmtId="0" fontId="11" fillId="33" borderId="14"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02" fillId="0" borderId="10" xfId="0" applyFont="1" applyFill="1" applyBorder="1" applyAlignment="1" applyProtection="1">
      <alignment horizontal="center" vertical="center" wrapText="1"/>
      <protection/>
    </xf>
    <xf numFmtId="0" fontId="27" fillId="0" borderId="10" xfId="0" applyFont="1" applyBorder="1" applyAlignment="1" applyProtection="1">
      <alignment vertical="center"/>
      <protection/>
    </xf>
    <xf numFmtId="9" fontId="27" fillId="0" borderId="10" xfId="0" applyNumberFormat="1" applyFont="1" applyBorder="1" applyAlignment="1" applyProtection="1">
      <alignment horizontal="center" vertical="center" wrapText="1"/>
      <protection/>
    </xf>
    <xf numFmtId="0" fontId="102" fillId="0" borderId="10"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95" fontId="28" fillId="0" borderId="10" xfId="0" applyNumberFormat="1" applyFont="1" applyFill="1" applyBorder="1" applyAlignment="1" applyProtection="1">
      <alignment horizontal="center" vertical="center" wrapText="1"/>
      <protection/>
    </xf>
    <xf numFmtId="0" fontId="27" fillId="0" borderId="10" xfId="0" applyFont="1" applyBorder="1" applyAlignment="1" applyProtection="1">
      <alignment horizontal="justify" vertical="center" wrapText="1"/>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justify"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center" vertical="center" wrapText="1"/>
      <protection/>
    </xf>
    <xf numFmtId="0" fontId="27" fillId="34" borderId="10" xfId="0" applyFont="1" applyFill="1" applyBorder="1" applyAlignment="1" applyProtection="1">
      <alignment horizontal="justify" vertical="center" wrapText="1"/>
      <protection/>
    </xf>
    <xf numFmtId="0" fontId="102" fillId="36" borderId="10" xfId="0" applyFont="1" applyFill="1" applyBorder="1" applyAlignment="1" applyProtection="1">
      <alignment horizontal="center" vertical="center" wrapText="1"/>
      <protection/>
    </xf>
    <xf numFmtId="0" fontId="102" fillId="36" borderId="10" xfId="0" applyFont="1" applyFill="1" applyBorder="1" applyAlignment="1" applyProtection="1">
      <alignment horizontal="justify" vertical="center" wrapText="1"/>
      <protection/>
    </xf>
    <xf numFmtId="0" fontId="27" fillId="36" borderId="10" xfId="0" applyFont="1" applyFill="1" applyBorder="1" applyAlignment="1" applyProtection="1">
      <alignment vertical="center" wrapText="1"/>
      <protection/>
    </xf>
    <xf numFmtId="0" fontId="20" fillId="36" borderId="0" xfId="0" applyFont="1" applyFill="1" applyBorder="1" applyAlignment="1" applyProtection="1">
      <alignment horizontal="center" vertical="center"/>
      <protection/>
    </xf>
    <xf numFmtId="196" fontId="28" fillId="36" borderId="10" xfId="0" applyNumberFormat="1" applyFont="1" applyFill="1" applyBorder="1" applyAlignment="1" applyProtection="1">
      <alignment horizontal="justify" vertical="center" wrapText="1"/>
      <protection/>
    </xf>
    <xf numFmtId="0" fontId="27" fillId="36" borderId="10" xfId="0" applyFont="1" applyFill="1" applyBorder="1" applyAlignment="1" applyProtection="1">
      <alignment vertical="center"/>
      <protection/>
    </xf>
    <xf numFmtId="0" fontId="27" fillId="36" borderId="10" xfId="0" applyFont="1" applyFill="1" applyBorder="1" applyAlignment="1" applyProtection="1">
      <alignment horizontal="center" vertical="center"/>
      <protection/>
    </xf>
    <xf numFmtId="0" fontId="27" fillId="36" borderId="10" xfId="0" applyFont="1" applyFill="1" applyBorder="1" applyAlignment="1" applyProtection="1">
      <alignment horizontal="justify" vertical="center" wrapText="1"/>
      <protection/>
    </xf>
    <xf numFmtId="195" fontId="28" fillId="36" borderId="10" xfId="0" applyNumberFormat="1" applyFont="1" applyFill="1" applyBorder="1" applyAlignment="1" applyProtection="1">
      <alignment horizontal="center" vertical="center" wrapText="1"/>
      <protection/>
    </xf>
    <xf numFmtId="0" fontId="0" fillId="0" borderId="0" xfId="0" applyFont="1" applyFill="1" applyAlignment="1" applyProtection="1">
      <alignment horizontal="center" vertical="center"/>
      <protection/>
    </xf>
    <xf numFmtId="0" fontId="33" fillId="33" borderId="13" xfId="0" applyFont="1" applyFill="1" applyBorder="1" applyAlignment="1" applyProtection="1">
      <alignment horizontal="center" vertical="center" wrapText="1"/>
      <protection/>
    </xf>
    <xf numFmtId="0" fontId="13" fillId="37" borderId="10" xfId="0" applyFont="1" applyFill="1" applyBorder="1" applyAlignment="1" applyProtection="1">
      <alignment vertical="center"/>
      <protection/>
    </xf>
    <xf numFmtId="0" fontId="26" fillId="37" borderId="10" xfId="0" applyFont="1" applyFill="1" applyBorder="1" applyAlignment="1" applyProtection="1">
      <alignment horizontal="center" vertical="center"/>
      <protection/>
    </xf>
    <xf numFmtId="169" fontId="13" fillId="37" borderId="10" xfId="0" applyNumberFormat="1" applyFont="1" applyFill="1" applyBorder="1" applyAlignment="1" applyProtection="1">
      <alignment vertical="center"/>
      <protection/>
    </xf>
    <xf numFmtId="0" fontId="101" fillId="37" borderId="0" xfId="0" applyFont="1" applyFill="1" applyAlignment="1" applyProtection="1">
      <alignment vertical="center"/>
      <protection/>
    </xf>
    <xf numFmtId="0" fontId="26" fillId="37" borderId="0" xfId="0" applyFont="1" applyFill="1" applyAlignment="1" applyProtection="1">
      <alignment vertical="center"/>
      <protection/>
    </xf>
    <xf numFmtId="0" fontId="103" fillId="35" borderId="0" xfId="0" applyFont="1" applyFill="1" applyAlignment="1" applyProtection="1">
      <alignment horizontal="left" vertical="center"/>
      <protection/>
    </xf>
    <xf numFmtId="169" fontId="29" fillId="35" borderId="10" xfId="48" applyNumberFormat="1" applyFont="1" applyFill="1" applyBorder="1" applyAlignment="1" applyProtection="1">
      <alignment horizontal="left" vertical="center" wrapText="1"/>
      <protection/>
    </xf>
    <xf numFmtId="0" fontId="32" fillId="35" borderId="0" xfId="0" applyFont="1" applyFill="1" applyAlignment="1" applyProtection="1">
      <alignment horizontal="left" vertical="center"/>
      <protection/>
    </xf>
    <xf numFmtId="0" fontId="13" fillId="37" borderId="10" xfId="0" applyFont="1" applyFill="1" applyBorder="1" applyAlignment="1" applyProtection="1">
      <alignment horizontal="center" vertical="center"/>
      <protection/>
    </xf>
    <xf numFmtId="0" fontId="12" fillId="0" borderId="0" xfId="0" applyFont="1" applyAlignment="1" applyProtection="1">
      <alignment horizontal="left"/>
      <protection/>
    </xf>
    <xf numFmtId="0" fontId="17" fillId="0" borderId="0" xfId="0" applyFont="1" applyFill="1" applyAlignment="1" applyProtection="1">
      <alignment horizontal="justify" vertical="center"/>
      <protection/>
    </xf>
    <xf numFmtId="0" fontId="24" fillId="36" borderId="15" xfId="0" applyNumberFormat="1" applyFont="1" applyFill="1" applyBorder="1" applyAlignment="1" applyProtection="1">
      <alignment horizontal="center" vertical="center" wrapText="1"/>
      <protection/>
    </xf>
    <xf numFmtId="0" fontId="24" fillId="36" borderId="15" xfId="0" applyNumberFormat="1" applyFont="1" applyFill="1" applyBorder="1" applyAlignment="1" applyProtection="1">
      <alignment horizontal="left" vertical="center" wrapText="1"/>
      <protection/>
    </xf>
    <xf numFmtId="0" fontId="104" fillId="36" borderId="10" xfId="0" applyNumberFormat="1" applyFont="1" applyFill="1" applyBorder="1" applyAlignment="1" applyProtection="1">
      <alignment horizontal="center" vertical="center"/>
      <protection/>
    </xf>
    <xf numFmtId="0" fontId="104" fillId="36" borderId="10" xfId="0" applyNumberFormat="1" applyFont="1" applyFill="1" applyBorder="1" applyAlignment="1" applyProtection="1">
      <alignment horizontal="center" vertical="center" wrapText="1"/>
      <protection/>
    </xf>
    <xf numFmtId="0" fontId="24" fillId="36" borderId="10" xfId="0" applyNumberFormat="1" applyFont="1" applyFill="1" applyBorder="1" applyAlignment="1" applyProtection="1">
      <alignment horizontal="center" vertical="center" wrapText="1"/>
      <protection/>
    </xf>
    <xf numFmtId="0" fontId="105" fillId="36" borderId="10" xfId="0" applyFont="1" applyFill="1" applyBorder="1" applyAlignment="1" applyProtection="1">
      <alignment horizontal="center" vertical="center" wrapText="1"/>
      <protection/>
    </xf>
    <xf numFmtId="0" fontId="12" fillId="0" borderId="0" xfId="0" applyFont="1" applyAlignment="1" applyProtection="1">
      <alignment horizontal="center"/>
      <protection/>
    </xf>
    <xf numFmtId="0" fontId="29" fillId="0" borderId="16" xfId="0" applyNumberFormat="1" applyFont="1" applyFill="1" applyBorder="1" applyAlignment="1" applyProtection="1">
      <alignment horizontal="center" vertical="center"/>
      <protection/>
    </xf>
    <xf numFmtId="0" fontId="101" fillId="0" borderId="0" xfId="0" applyFont="1" applyAlignment="1" applyProtection="1">
      <alignment horizontal="center" vertical="center"/>
      <protection/>
    </xf>
    <xf numFmtId="0" fontId="34" fillId="35" borderId="15" xfId="0" applyFont="1" applyFill="1" applyBorder="1" applyAlignment="1" applyProtection="1">
      <alignment horizontal="justify" vertical="center" wrapText="1"/>
      <protection/>
    </xf>
    <xf numFmtId="0" fontId="34" fillId="35" borderId="15" xfId="0" applyFont="1" applyFill="1" applyBorder="1" applyAlignment="1" applyProtection="1">
      <alignment horizontal="center" vertical="center"/>
      <protection/>
    </xf>
    <xf numFmtId="0" fontId="34" fillId="35" borderId="15" xfId="0" applyFont="1" applyFill="1" applyBorder="1" applyAlignment="1" applyProtection="1">
      <alignment horizontal="center" vertical="center" wrapText="1"/>
      <protection/>
    </xf>
    <xf numFmtId="9" fontId="34" fillId="35" borderId="15" xfId="0" applyNumberFormat="1" applyFont="1" applyFill="1" applyBorder="1" applyAlignment="1" applyProtection="1">
      <alignment horizontal="center" vertical="center" wrapText="1"/>
      <protection/>
    </xf>
    <xf numFmtId="0" fontId="104" fillId="35" borderId="15" xfId="0" applyFont="1" applyFill="1" applyBorder="1" applyAlignment="1" applyProtection="1">
      <alignment horizontal="justify" vertical="center" wrapText="1"/>
      <protection/>
    </xf>
    <xf numFmtId="0" fontId="104" fillId="35" borderId="15" xfId="0" applyFont="1" applyFill="1" applyBorder="1" applyAlignment="1" applyProtection="1">
      <alignment horizontal="center" vertical="center" wrapText="1"/>
      <protection/>
    </xf>
    <xf numFmtId="0" fontId="104" fillId="35" borderId="15" xfId="0" applyFont="1" applyFill="1" applyBorder="1" applyAlignment="1" applyProtection="1">
      <alignment horizontal="center" vertical="center"/>
      <protection/>
    </xf>
    <xf numFmtId="0" fontId="29" fillId="0" borderId="17" xfId="0" applyNumberFormat="1" applyFont="1" applyBorder="1" applyAlignment="1" applyProtection="1">
      <alignment horizontal="center" vertical="center"/>
      <protection/>
    </xf>
    <xf numFmtId="200" fontId="34" fillId="35" borderId="10" xfId="48" applyNumberFormat="1" applyFont="1" applyFill="1" applyBorder="1" applyAlignment="1" applyProtection="1" quotePrefix="1">
      <alignment horizontal="center" vertical="center" wrapText="1"/>
      <protection/>
    </xf>
    <xf numFmtId="195" fontId="104" fillId="35" borderId="15" xfId="0" applyNumberFormat="1" applyFont="1" applyFill="1" applyBorder="1" applyAlignment="1" applyProtection="1">
      <alignment horizontal="center" vertical="center" wrapText="1"/>
      <protection/>
    </xf>
    <xf numFmtId="200" fontId="104" fillId="35" borderId="15" xfId="48" applyNumberFormat="1" applyFont="1" applyFill="1" applyBorder="1" applyAlignment="1" applyProtection="1" quotePrefix="1">
      <alignment horizontal="center" vertical="center" wrapText="1"/>
      <protection/>
    </xf>
    <xf numFmtId="0" fontId="24" fillId="35" borderId="15" xfId="0" applyFont="1" applyFill="1" applyBorder="1" applyAlignment="1" applyProtection="1">
      <alignment horizontal="justify" vertical="center"/>
      <protection/>
    </xf>
    <xf numFmtId="0" fontId="104" fillId="35" borderId="15" xfId="0"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protection/>
    </xf>
    <xf numFmtId="200" fontId="104" fillId="35" borderId="10" xfId="48" applyNumberFormat="1" applyFont="1" applyFill="1" applyBorder="1" applyAlignment="1" applyProtection="1" quotePrefix="1">
      <alignment horizontal="center" vertical="center" wrapText="1"/>
      <protection/>
    </xf>
    <xf numFmtId="0" fontId="103" fillId="35" borderId="15" xfId="0" applyFont="1" applyFill="1" applyBorder="1" applyAlignment="1" applyProtection="1">
      <alignment horizontal="justify" vertical="center" wrapText="1"/>
      <protection/>
    </xf>
    <xf numFmtId="1" fontId="34" fillId="35" borderId="15" xfId="0" applyNumberFormat="1" applyFont="1" applyFill="1" applyBorder="1" applyAlignment="1" applyProtection="1">
      <alignment horizontal="center" vertical="center" wrapText="1"/>
      <protection/>
    </xf>
    <xf numFmtId="0" fontId="34" fillId="35" borderId="10" xfId="0" applyFont="1" applyFill="1" applyBorder="1" applyAlignment="1" applyProtection="1">
      <alignment horizontal="justify" vertical="center" wrapText="1"/>
      <protection/>
    </xf>
    <xf numFmtId="0" fontId="34" fillId="35" borderId="10" xfId="0" applyFont="1" applyFill="1" applyBorder="1" applyAlignment="1" applyProtection="1">
      <alignment horizontal="center" vertical="center"/>
      <protection/>
    </xf>
    <xf numFmtId="0" fontId="34" fillId="35" borderId="15" xfId="0" applyFont="1" applyFill="1" applyBorder="1" applyAlignment="1" applyProtection="1" quotePrefix="1">
      <alignment horizontal="center" vertical="center"/>
      <protection/>
    </xf>
    <xf numFmtId="0" fontId="34" fillId="35" borderId="10" xfId="0" applyFont="1" applyFill="1" applyBorder="1" applyAlignment="1" applyProtection="1" quotePrefix="1">
      <alignment horizontal="center" vertical="center"/>
      <protection/>
    </xf>
    <xf numFmtId="2" fontId="34" fillId="35" borderId="15" xfId="55" applyNumberFormat="1" applyFont="1" applyFill="1" applyBorder="1" applyAlignment="1" applyProtection="1">
      <alignment horizontal="center" vertical="center" wrapText="1"/>
      <protection/>
    </xf>
    <xf numFmtId="2" fontId="34" fillId="35" borderId="10" xfId="55" applyNumberFormat="1" applyFont="1" applyFill="1" applyBorder="1" applyAlignment="1" applyProtection="1">
      <alignment horizontal="center" vertical="center" wrapText="1"/>
      <protection/>
    </xf>
    <xf numFmtId="0" fontId="104" fillId="35" borderId="15" xfId="0" applyFont="1" applyFill="1" applyBorder="1" applyAlignment="1" applyProtection="1" quotePrefix="1">
      <alignment horizontal="center" vertical="center"/>
      <protection/>
    </xf>
    <xf numFmtId="0" fontId="104" fillId="35" borderId="10" xfId="0" applyFont="1" applyFill="1" applyBorder="1" applyAlignment="1" applyProtection="1" quotePrefix="1">
      <alignment horizontal="center" vertical="center"/>
      <protection/>
    </xf>
    <xf numFmtId="0" fontId="104" fillId="35" borderId="10" xfId="0" applyFont="1" applyFill="1" applyBorder="1" applyAlignment="1" applyProtection="1">
      <alignment horizontal="justify" vertical="center" wrapText="1"/>
      <protection/>
    </xf>
    <xf numFmtId="0" fontId="104" fillId="35" borderId="10" xfId="0" applyFont="1" applyFill="1" applyBorder="1" applyAlignment="1" applyProtection="1">
      <alignment horizontal="center" vertical="center"/>
      <protection/>
    </xf>
    <xf numFmtId="0" fontId="104" fillId="35" borderId="18" xfId="0" applyFont="1" applyFill="1" applyBorder="1" applyAlignment="1" applyProtection="1" quotePrefix="1">
      <alignment horizontal="center" vertical="center"/>
      <protection/>
    </xf>
    <xf numFmtId="0" fontId="34" fillId="35" borderId="18" xfId="0" applyFont="1" applyFill="1" applyBorder="1" applyAlignment="1" applyProtection="1">
      <alignment horizontal="justify" vertical="center" wrapText="1"/>
      <protection/>
    </xf>
    <xf numFmtId="0" fontId="104" fillId="35" borderId="10" xfId="0" applyFont="1" applyFill="1" applyBorder="1" applyAlignment="1" applyProtection="1">
      <alignment horizontal="justify" vertical="center"/>
      <protection/>
    </xf>
    <xf numFmtId="0" fontId="104" fillId="35" borderId="18" xfId="0" applyFont="1" applyFill="1" applyBorder="1" applyAlignment="1" applyProtection="1">
      <alignment horizontal="center" vertical="center"/>
      <protection/>
    </xf>
    <xf numFmtId="2" fontId="104" fillId="35" borderId="15" xfId="55" applyNumberFormat="1" applyFont="1" applyFill="1" applyBorder="1" applyAlignment="1" applyProtection="1">
      <alignment horizontal="center" vertical="center" wrapText="1"/>
      <protection/>
    </xf>
    <xf numFmtId="9" fontId="104" fillId="35" borderId="10" xfId="0" applyNumberFormat="1" applyFont="1" applyFill="1" applyBorder="1" applyAlignment="1" applyProtection="1">
      <alignment horizontal="center" vertical="center"/>
      <protection/>
    </xf>
    <xf numFmtId="9" fontId="104" fillId="35" borderId="18" xfId="0" applyNumberFormat="1" applyFont="1" applyFill="1" applyBorder="1" applyAlignment="1" applyProtection="1">
      <alignment horizontal="center" vertical="center"/>
      <protection/>
    </xf>
    <xf numFmtId="9" fontId="104" fillId="35" borderId="15" xfId="0" applyNumberFormat="1"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wrapText="1"/>
      <protection/>
    </xf>
    <xf numFmtId="9" fontId="18" fillId="35" borderId="10" xfId="58"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58" applyNumberFormat="1" applyFont="1" applyFill="1" applyBorder="1" applyAlignment="1" applyProtection="1">
      <alignment horizontal="center" vertical="center" wrapText="1"/>
      <protection/>
    </xf>
    <xf numFmtId="0" fontId="19" fillId="36" borderId="10" xfId="0" applyFont="1" applyFill="1" applyBorder="1" applyAlignment="1" applyProtection="1">
      <alignment horizontal="justify" vertical="center" wrapText="1"/>
      <protection/>
    </xf>
    <xf numFmtId="9" fontId="37" fillId="35" borderId="10" xfId="58" applyNumberFormat="1" applyFont="1" applyFill="1" applyBorder="1" applyAlignment="1" applyProtection="1">
      <alignment horizontal="center" vertical="center" wrapText="1"/>
      <protection/>
    </xf>
    <xf numFmtId="0" fontId="8" fillId="35" borderId="10" xfId="0" applyFont="1" applyFill="1" applyBorder="1" applyAlignment="1" applyProtection="1">
      <alignment horizontal="center" vertical="center"/>
      <protection/>
    </xf>
    <xf numFmtId="0" fontId="0" fillId="35" borderId="10" xfId="0" applyFill="1" applyBorder="1" applyAlignment="1" applyProtection="1">
      <alignment vertical="center"/>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protection/>
    </xf>
    <xf numFmtId="10" fontId="30" fillId="35" borderId="10" xfId="0" applyNumberFormat="1" applyFont="1" applyFill="1" applyBorder="1" applyAlignment="1" applyProtection="1">
      <alignment horizontal="left" vertical="center" wrapText="1"/>
      <protection/>
    </xf>
    <xf numFmtId="0" fontId="29" fillId="35" borderId="10" xfId="0" applyFont="1" applyFill="1" applyBorder="1" applyAlignment="1" applyProtection="1">
      <alignment horizontal="left" vertical="center" wrapText="1"/>
      <protection/>
    </xf>
    <xf numFmtId="0" fontId="31" fillId="35" borderId="10" xfId="0" applyFont="1" applyFill="1" applyBorder="1" applyAlignment="1" applyProtection="1">
      <alignment horizontal="left" vertical="center" wrapText="1"/>
      <protection/>
    </xf>
    <xf numFmtId="2" fontId="30" fillId="35" borderId="10" xfId="0" applyNumberFormat="1" applyFont="1" applyFill="1" applyBorder="1" applyAlignment="1" applyProtection="1">
      <alignment horizontal="left" vertical="center" wrapText="1"/>
      <protection/>
    </xf>
    <xf numFmtId="0" fontId="4" fillId="33" borderId="20" xfId="0" applyFont="1" applyFill="1" applyBorder="1" applyAlignment="1" applyProtection="1">
      <alignment horizontal="center" vertical="center"/>
      <protection/>
    </xf>
    <xf numFmtId="0" fontId="4" fillId="33" borderId="1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12" fillId="0" borderId="0" xfId="0" applyFont="1" applyAlignment="1" applyProtection="1">
      <alignment horizontal="left"/>
      <protection/>
    </xf>
    <xf numFmtId="0" fontId="13" fillId="33" borderId="21" xfId="0" applyFont="1" applyFill="1" applyBorder="1" applyAlignment="1" applyProtection="1">
      <alignment horizontal="center" vertical="center" wrapText="1"/>
      <protection/>
    </xf>
    <xf numFmtId="0" fontId="13" fillId="33" borderId="22" xfId="0" applyFont="1" applyFill="1" applyBorder="1" applyAlignment="1" applyProtection="1">
      <alignment horizontal="center" vertical="center" wrapText="1"/>
      <protection/>
    </xf>
    <xf numFmtId="0" fontId="106" fillId="0" borderId="0" xfId="0" applyFont="1" applyAlignment="1" applyProtection="1">
      <alignment horizontal="left"/>
      <protection/>
    </xf>
    <xf numFmtId="0" fontId="3" fillId="33" borderId="23" xfId="0" applyFont="1" applyFill="1" applyBorder="1" applyAlignment="1" applyProtection="1">
      <alignment horizontal="center" vertical="center" wrapText="1"/>
      <protection/>
    </xf>
    <xf numFmtId="0" fontId="3" fillId="33" borderId="24"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14"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6" fillId="33" borderId="27"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8" xfId="0" applyFont="1" applyFill="1" applyBorder="1" applyAlignment="1" applyProtection="1">
      <alignment horizontal="center" vertical="center" wrapText="1"/>
      <protection/>
    </xf>
    <xf numFmtId="169" fontId="25" fillId="35" borderId="11" xfId="48" applyNumberFormat="1" applyFont="1" applyFill="1" applyBorder="1" applyAlignment="1" applyProtection="1">
      <alignment horizontal="left" vertical="center" wrapText="1"/>
      <protection/>
    </xf>
    <xf numFmtId="169" fontId="25" fillId="35" borderId="25" xfId="48" applyNumberFormat="1" applyFont="1" applyFill="1" applyBorder="1" applyAlignment="1" applyProtection="1">
      <alignment horizontal="left" vertical="center" wrapText="1"/>
      <protection/>
    </xf>
    <xf numFmtId="0" fontId="4" fillId="33" borderId="12" xfId="0" applyFont="1" applyFill="1" applyBorder="1" applyAlignment="1" applyProtection="1">
      <alignment horizontal="center" vertical="center"/>
      <protection/>
    </xf>
    <xf numFmtId="0" fontId="13" fillId="33" borderId="29" xfId="0"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protection/>
    </xf>
    <xf numFmtId="0" fontId="4" fillId="33" borderId="19" xfId="0" applyFont="1" applyFill="1" applyBorder="1" applyAlignment="1" applyProtection="1">
      <alignment horizontal="center" vertical="center"/>
      <protection/>
    </xf>
    <xf numFmtId="0" fontId="3" fillId="33" borderId="31"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13" fillId="33" borderId="32" xfId="0" applyFont="1" applyFill="1" applyBorder="1" applyAlignment="1" applyProtection="1">
      <alignment horizontal="center" vertical="center" wrapText="1"/>
      <protection/>
    </xf>
    <xf numFmtId="0" fontId="13" fillId="33" borderId="14" xfId="0" applyFont="1" applyFill="1" applyBorder="1" applyAlignment="1" applyProtection="1">
      <alignment horizontal="center" vertical="center" wrapText="1"/>
      <protection/>
    </xf>
    <xf numFmtId="0" fontId="13" fillId="33" borderId="33" xfId="0" applyFont="1" applyFill="1" applyBorder="1" applyAlignment="1" applyProtection="1">
      <alignment horizontal="center" vertical="center" wrapText="1"/>
      <protection/>
    </xf>
    <xf numFmtId="0" fontId="11" fillId="33" borderId="34" xfId="0" applyFont="1" applyFill="1" applyBorder="1" applyAlignment="1" applyProtection="1">
      <alignment horizontal="center" vertical="center" wrapText="1"/>
      <protection/>
    </xf>
    <xf numFmtId="0" fontId="3" fillId="33" borderId="30" xfId="0" applyFont="1" applyFill="1" applyBorder="1" applyAlignment="1" applyProtection="1">
      <alignment horizontal="center" vertical="center" wrapText="1"/>
      <protection/>
    </xf>
    <xf numFmtId="0" fontId="3" fillId="33" borderId="35" xfId="0" applyFont="1" applyFill="1" applyBorder="1" applyAlignment="1" applyProtection="1">
      <alignment horizontal="center" vertical="center" wrapText="1"/>
      <protection/>
    </xf>
    <xf numFmtId="0" fontId="52" fillId="0" borderId="36" xfId="0" applyFont="1" applyBorder="1" applyAlignment="1">
      <alignment horizontal="center"/>
    </xf>
    <xf numFmtId="0" fontId="52" fillId="0" borderId="37" xfId="0" applyFont="1" applyBorder="1" applyAlignment="1">
      <alignment horizontal="center"/>
    </xf>
    <xf numFmtId="0" fontId="52" fillId="0" borderId="38" xfId="0" applyFont="1" applyBorder="1" applyAlignment="1">
      <alignment horizontal="center"/>
    </xf>
    <xf numFmtId="0" fontId="53" fillId="0" borderId="39" xfId="0" applyFont="1" applyBorder="1" applyAlignment="1">
      <alignment horizontal="center" wrapText="1"/>
    </xf>
    <xf numFmtId="0" fontId="53" fillId="0" borderId="40" xfId="0" applyFont="1" applyBorder="1" applyAlignment="1">
      <alignment horizontal="center" wrapText="1"/>
    </xf>
    <xf numFmtId="0" fontId="53" fillId="0" borderId="41" xfId="0" applyFont="1" applyBorder="1" applyAlignment="1">
      <alignment horizontal="center" wrapText="1"/>
    </xf>
    <xf numFmtId="0" fontId="53" fillId="0" borderId="39" xfId="0" applyFont="1" applyBorder="1" applyAlignment="1">
      <alignment horizontal="left" wrapText="1"/>
    </xf>
    <xf numFmtId="0" fontId="53" fillId="0" borderId="40" xfId="0" applyFont="1" applyBorder="1" applyAlignment="1">
      <alignment horizontal="left" wrapText="1"/>
    </xf>
    <xf numFmtId="0" fontId="53" fillId="0" borderId="41" xfId="0" applyFont="1" applyBorder="1" applyAlignment="1">
      <alignment horizontal="left" wrapText="1"/>
    </xf>
    <xf numFmtId="0" fontId="52" fillId="0" borderId="39" xfId="0" applyFont="1" applyBorder="1" applyAlignment="1">
      <alignment horizontal="center"/>
    </xf>
    <xf numFmtId="0" fontId="52" fillId="0" borderId="40" xfId="0" applyFont="1" applyBorder="1" applyAlignment="1">
      <alignment horizontal="center"/>
    </xf>
    <xf numFmtId="0" fontId="52" fillId="0" borderId="41" xfId="0" applyFont="1" applyBorder="1" applyAlignment="1">
      <alignment/>
    </xf>
    <xf numFmtId="0" fontId="52" fillId="0" borderId="41" xfId="0" applyFont="1" applyBorder="1" applyAlignment="1">
      <alignment horizontal="center"/>
    </xf>
    <xf numFmtId="0" fontId="52" fillId="0" borderId="39" xfId="0" applyFont="1" applyBorder="1" applyAlignment="1">
      <alignment horizontal="center" wrapText="1"/>
    </xf>
    <xf numFmtId="0" fontId="52" fillId="0" borderId="40" xfId="0" applyFont="1" applyBorder="1" applyAlignment="1">
      <alignment horizontal="center" wrapText="1"/>
    </xf>
    <xf numFmtId="0" fontId="52" fillId="0" borderId="41" xfId="0" applyFont="1" applyBorder="1" applyAlignment="1">
      <alignment horizontal="center" wrapText="1"/>
    </xf>
    <xf numFmtId="0" fontId="52" fillId="0" borderId="0" xfId="0" applyFont="1" applyAlignment="1">
      <alignment/>
    </xf>
    <xf numFmtId="0" fontId="52" fillId="0" borderId="16" xfId="0" applyFont="1" applyBorder="1" applyAlignment="1">
      <alignment horizontal="center"/>
    </xf>
    <xf numFmtId="0" fontId="52" fillId="0" borderId="10" xfId="0" applyFont="1" applyBorder="1" applyAlignment="1">
      <alignment horizontal="center"/>
    </xf>
    <xf numFmtId="0" fontId="52" fillId="0" borderId="42" xfId="0" applyFont="1" applyBorder="1" applyAlignment="1">
      <alignment horizontal="center"/>
    </xf>
    <xf numFmtId="0" fontId="53" fillId="0" borderId="43" xfId="0" applyFont="1" applyBorder="1" applyAlignment="1">
      <alignment horizontal="center" wrapText="1"/>
    </xf>
    <xf numFmtId="0" fontId="53" fillId="0" borderId="0" xfId="0" applyFont="1" applyBorder="1" applyAlignment="1">
      <alignment horizontal="center" wrapText="1"/>
    </xf>
    <xf numFmtId="0" fontId="53" fillId="0" borderId="44" xfId="0" applyFont="1" applyBorder="1" applyAlignment="1">
      <alignment horizontal="center" wrapText="1"/>
    </xf>
    <xf numFmtId="0" fontId="53" fillId="0" borderId="43" xfId="0" applyFont="1" applyBorder="1" applyAlignment="1">
      <alignment horizontal="left" wrapText="1"/>
    </xf>
    <xf numFmtId="0" fontId="53" fillId="0" borderId="0" xfId="0" applyFont="1" applyBorder="1" applyAlignment="1">
      <alignment horizontal="left" wrapText="1"/>
    </xf>
    <xf numFmtId="0" fontId="53" fillId="0" borderId="44" xfId="0" applyFont="1" applyBorder="1" applyAlignment="1">
      <alignment horizontal="left" wrapText="1"/>
    </xf>
    <xf numFmtId="0" fontId="52" fillId="0" borderId="43" xfId="0" applyFont="1" applyBorder="1" applyAlignment="1">
      <alignment horizontal="center"/>
    </xf>
    <xf numFmtId="0" fontId="52" fillId="0" borderId="0" xfId="0" applyFont="1" applyBorder="1" applyAlignment="1">
      <alignment horizontal="center"/>
    </xf>
    <xf numFmtId="0" fontId="52" fillId="0" borderId="44" xfId="0" applyFont="1" applyBorder="1" applyAlignment="1">
      <alignment/>
    </xf>
    <xf numFmtId="0" fontId="52" fillId="0" borderId="44" xfId="0" applyFont="1" applyBorder="1" applyAlignment="1">
      <alignment horizontal="center"/>
    </xf>
    <xf numFmtId="0" fontId="52" fillId="0" borderId="43" xfId="0" applyFont="1" applyBorder="1" applyAlignment="1">
      <alignment horizontal="center" wrapText="1"/>
    </xf>
    <xf numFmtId="0" fontId="52" fillId="0" borderId="0" xfId="0" applyFont="1" applyBorder="1" applyAlignment="1">
      <alignment horizontal="center" wrapText="1"/>
    </xf>
    <xf numFmtId="0" fontId="52" fillId="0" borderId="44" xfId="0" applyFont="1" applyBorder="1" applyAlignment="1">
      <alignment horizontal="center" wrapText="1"/>
    </xf>
    <xf numFmtId="0" fontId="52" fillId="0" borderId="45" xfId="0" applyFont="1" applyBorder="1" applyAlignment="1">
      <alignment horizontal="center"/>
    </xf>
    <xf numFmtId="0" fontId="52" fillId="0" borderId="18" xfId="0" applyFont="1" applyBorder="1" applyAlignment="1">
      <alignment horizontal="center"/>
    </xf>
    <xf numFmtId="0" fontId="52" fillId="0" borderId="46" xfId="0" applyFont="1" applyBorder="1" applyAlignment="1">
      <alignment horizontal="center"/>
    </xf>
    <xf numFmtId="0" fontId="53" fillId="0" borderId="47" xfId="0" applyFont="1" applyBorder="1" applyAlignment="1">
      <alignment horizontal="center" wrapText="1"/>
    </xf>
    <xf numFmtId="0" fontId="53" fillId="0" borderId="48" xfId="0" applyFont="1" applyBorder="1" applyAlignment="1">
      <alignment horizontal="center" wrapText="1"/>
    </xf>
    <xf numFmtId="0" fontId="53" fillId="0" borderId="49" xfId="0" applyFont="1" applyBorder="1" applyAlignment="1">
      <alignment horizontal="center" wrapText="1"/>
    </xf>
    <xf numFmtId="0" fontId="53" fillId="0" borderId="47" xfId="0" applyFont="1" applyBorder="1" applyAlignment="1">
      <alignment horizontal="left" wrapText="1"/>
    </xf>
    <xf numFmtId="0" fontId="53" fillId="0" borderId="48" xfId="0" applyFont="1" applyBorder="1" applyAlignment="1">
      <alignment horizontal="left" wrapText="1"/>
    </xf>
    <xf numFmtId="0" fontId="53" fillId="0" borderId="49" xfId="0" applyFont="1" applyBorder="1" applyAlignment="1">
      <alignment horizontal="left" wrapText="1"/>
    </xf>
    <xf numFmtId="0" fontId="52" fillId="0" borderId="47" xfId="0" applyFont="1" applyBorder="1" applyAlignment="1">
      <alignment horizontal="center"/>
    </xf>
    <xf numFmtId="0" fontId="52" fillId="0" borderId="48" xfId="0" applyFont="1" applyBorder="1" applyAlignment="1">
      <alignment horizontal="center"/>
    </xf>
    <xf numFmtId="0" fontId="52" fillId="0" borderId="49" xfId="0" applyFont="1" applyBorder="1" applyAlignment="1">
      <alignment/>
    </xf>
    <xf numFmtId="0" fontId="52" fillId="0" borderId="49" xfId="0" applyFont="1" applyBorder="1" applyAlignment="1">
      <alignment horizontal="center"/>
    </xf>
    <xf numFmtId="0" fontId="52" fillId="0" borderId="47" xfId="0" applyFont="1" applyBorder="1" applyAlignment="1">
      <alignment horizontal="center" wrapText="1"/>
    </xf>
    <xf numFmtId="0" fontId="52" fillId="0" borderId="48" xfId="0" applyFont="1" applyBorder="1" applyAlignment="1">
      <alignment horizontal="center" wrapText="1"/>
    </xf>
    <xf numFmtId="0" fontId="52" fillId="0" borderId="49" xfId="0" applyFont="1" applyBorder="1" applyAlignment="1">
      <alignment horizontal="center" wrapText="1"/>
    </xf>
    <xf numFmtId="0" fontId="5" fillId="0" borderId="0" xfId="0" applyFont="1" applyFill="1" applyAlignment="1" applyProtection="1">
      <alignment vertical="center"/>
      <protection/>
    </xf>
    <xf numFmtId="0" fontId="3" fillId="33" borderId="0" xfId="0" applyFont="1" applyFill="1" applyBorder="1" applyAlignment="1" applyProtection="1">
      <alignment horizontal="center" vertical="center" wrapText="1"/>
      <protection/>
    </xf>
    <xf numFmtId="0" fontId="3" fillId="33" borderId="12"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xf>
    <xf numFmtId="194" fontId="57" fillId="0" borderId="10" xfId="0" applyNumberFormat="1" applyFont="1" applyFill="1" applyBorder="1" applyAlignment="1" applyProtection="1">
      <alignment horizontal="center" vertical="center"/>
      <protection/>
    </xf>
    <xf numFmtId="0" fontId="58" fillId="0" borderId="11" xfId="0" applyFont="1" applyFill="1" applyBorder="1" applyAlignment="1" applyProtection="1">
      <alignment horizontal="center" vertical="center" wrapText="1"/>
      <protection/>
    </xf>
    <xf numFmtId="0" fontId="22" fillId="0" borderId="11" xfId="0" applyFont="1" applyFill="1" applyBorder="1" applyAlignment="1" applyProtection="1">
      <alignment horizontal="center" vertical="center" wrapText="1"/>
      <protection/>
    </xf>
    <xf numFmtId="0" fontId="59" fillId="0" borderId="50" xfId="0" applyFont="1" applyFill="1" applyBorder="1" applyAlignment="1" applyProtection="1">
      <alignment horizontal="center" vertical="center" wrapText="1"/>
      <protection/>
    </xf>
    <xf numFmtId="0" fontId="59" fillId="0" borderId="11" xfId="0" applyFont="1" applyFill="1" applyBorder="1" applyAlignment="1" applyProtection="1">
      <alignment horizontal="center" vertical="center" wrapText="1"/>
      <protection/>
    </xf>
    <xf numFmtId="0" fontId="60" fillId="0" borderId="11" xfId="0" applyFont="1" applyFill="1" applyBorder="1" applyAlignment="1" applyProtection="1">
      <alignment horizontal="center" vertical="center" wrapText="1"/>
      <protection/>
    </xf>
    <xf numFmtId="9" fontId="58" fillId="0" borderId="11" xfId="0" applyNumberFormat="1" applyFont="1" applyFill="1" applyBorder="1" applyAlignment="1" applyProtection="1">
      <alignment horizontal="center" vertical="center" wrapText="1"/>
      <protection/>
    </xf>
    <xf numFmtId="169" fontId="59" fillId="0" borderId="11" xfId="50" applyNumberFormat="1" applyFont="1" applyFill="1" applyBorder="1" applyAlignment="1" applyProtection="1">
      <alignment horizontal="center" vertical="center" wrapText="1"/>
      <protection/>
    </xf>
    <xf numFmtId="0" fontId="61" fillId="0" borderId="11" xfId="0" applyFont="1" applyFill="1" applyBorder="1" applyAlignment="1" applyProtection="1">
      <alignment horizontal="justify" vertical="top" wrapText="1"/>
      <protection locked="0"/>
    </xf>
    <xf numFmtId="0" fontId="62" fillId="0" borderId="11" xfId="0" applyFont="1" applyFill="1" applyBorder="1" applyAlignment="1" applyProtection="1">
      <alignment horizontal="justify" vertical="top" wrapText="1"/>
      <protection locked="0"/>
    </xf>
    <xf numFmtId="0" fontId="63" fillId="0" borderId="11" xfId="0" applyFont="1" applyFill="1" applyBorder="1" applyAlignment="1" applyProtection="1">
      <alignment horizontal="justify" vertical="top" wrapText="1"/>
      <protection locked="0"/>
    </xf>
    <xf numFmtId="0" fontId="64" fillId="0" borderId="11" xfId="0" applyFont="1" applyFill="1" applyBorder="1" applyAlignment="1" applyProtection="1">
      <alignment horizontal="justify" vertical="top" wrapText="1"/>
      <protection locked="0"/>
    </xf>
    <xf numFmtId="0" fontId="53" fillId="0" borderId="36" xfId="0" applyFont="1" applyFill="1" applyBorder="1" applyAlignment="1" applyProtection="1">
      <alignment vertical="center"/>
      <protection/>
    </xf>
    <xf numFmtId="3" fontId="37" fillId="0" borderId="37" xfId="0" applyNumberFormat="1" applyFont="1" applyFill="1" applyBorder="1" applyAlignment="1" applyProtection="1">
      <alignment horizontal="center" vertical="center"/>
      <protection locked="0"/>
    </xf>
    <xf numFmtId="3" fontId="37" fillId="0" borderId="37" xfId="0" applyNumberFormat="1" applyFont="1" applyFill="1" applyBorder="1" applyAlignment="1" applyProtection="1">
      <alignment horizontal="center" vertical="center"/>
      <protection/>
    </xf>
    <xf numFmtId="3" fontId="37" fillId="0" borderId="38" xfId="0" applyNumberFormat="1" applyFont="1" applyFill="1" applyBorder="1" applyAlignment="1" applyProtection="1">
      <alignment horizontal="center" vertical="center"/>
      <protection/>
    </xf>
    <xf numFmtId="0" fontId="19" fillId="0" borderId="0" xfId="0" applyFont="1" applyFill="1" applyAlignment="1" applyProtection="1">
      <alignment vertical="center"/>
      <protection/>
    </xf>
    <xf numFmtId="169" fontId="52" fillId="0" borderId="10" xfId="50" applyNumberFormat="1" applyFont="1" applyFill="1" applyBorder="1" applyAlignment="1" applyProtection="1">
      <alignment horizontal="center" vertical="center" wrapText="1"/>
      <protection/>
    </xf>
    <xf numFmtId="0" fontId="58" fillId="0" borderId="25" xfId="0" applyFont="1" applyFill="1" applyBorder="1" applyAlignment="1" applyProtection="1">
      <alignment horizontal="center" vertical="center" wrapText="1"/>
      <protection/>
    </xf>
    <xf numFmtId="0" fontId="22" fillId="0" borderId="25" xfId="0" applyFont="1" applyFill="1" applyBorder="1" applyAlignment="1" applyProtection="1">
      <alignment horizontal="center" vertical="center" wrapText="1"/>
      <protection/>
    </xf>
    <xf numFmtId="0" fontId="59" fillId="0" borderId="25" xfId="0" applyFont="1" applyFill="1" applyBorder="1" applyAlignment="1" applyProtection="1">
      <alignment horizontal="center" vertical="center" wrapText="1"/>
      <protection/>
    </xf>
    <xf numFmtId="0" fontId="60" fillId="0" borderId="25" xfId="0" applyFont="1" applyFill="1" applyBorder="1" applyAlignment="1" applyProtection="1">
      <alignment horizontal="center" vertical="center" wrapText="1"/>
      <protection/>
    </xf>
    <xf numFmtId="9" fontId="58" fillId="0" borderId="25" xfId="0" applyNumberFormat="1" applyFont="1" applyFill="1" applyBorder="1" applyAlignment="1" applyProtection="1">
      <alignment horizontal="center" vertical="center" wrapText="1"/>
      <protection/>
    </xf>
    <xf numFmtId="169" fontId="59" fillId="0" borderId="25" xfId="50" applyNumberFormat="1" applyFont="1" applyFill="1" applyBorder="1" applyAlignment="1" applyProtection="1">
      <alignment horizontal="center" vertical="center" wrapText="1"/>
      <protection/>
    </xf>
    <xf numFmtId="0" fontId="61" fillId="0" borderId="25" xfId="0" applyFont="1" applyFill="1" applyBorder="1" applyAlignment="1" applyProtection="1">
      <alignment horizontal="justify" vertical="top"/>
      <protection locked="0"/>
    </xf>
    <xf numFmtId="0" fontId="64" fillId="0" borderId="25" xfId="0" applyFont="1" applyFill="1" applyBorder="1" applyAlignment="1" applyProtection="1">
      <alignment horizontal="justify" vertical="top" wrapText="1"/>
      <protection locked="0"/>
    </xf>
    <xf numFmtId="0" fontId="53" fillId="0" borderId="16" xfId="0" applyFont="1" applyFill="1" applyBorder="1" applyAlignment="1" applyProtection="1">
      <alignment vertical="center"/>
      <protection/>
    </xf>
    <xf numFmtId="3" fontId="37" fillId="0" borderId="10" xfId="0" applyNumberFormat="1" applyFont="1" applyFill="1" applyBorder="1" applyAlignment="1" applyProtection="1">
      <alignment horizontal="center" vertical="center"/>
      <protection locked="0"/>
    </xf>
    <xf numFmtId="3" fontId="37" fillId="0" borderId="10" xfId="0" applyNumberFormat="1" applyFont="1" applyFill="1" applyBorder="1" applyAlignment="1" applyProtection="1">
      <alignment horizontal="center" vertical="center"/>
      <protection/>
    </xf>
    <xf numFmtId="3" fontId="37" fillId="0" borderId="42" xfId="0" applyNumberFormat="1"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wrapText="1"/>
      <protection/>
    </xf>
    <xf numFmtId="194" fontId="65" fillId="0" borderId="10" xfId="0" applyNumberFormat="1" applyFont="1" applyFill="1" applyBorder="1" applyAlignment="1" applyProtection="1">
      <alignment horizontal="center" vertical="center"/>
      <protection/>
    </xf>
    <xf numFmtId="0" fontId="8" fillId="0" borderId="16" xfId="0" applyFont="1" applyFill="1" applyBorder="1" applyAlignment="1" applyProtection="1">
      <alignment/>
      <protection/>
    </xf>
    <xf numFmtId="3" fontId="8" fillId="0" borderId="10" xfId="0" applyNumberFormat="1" applyFont="1" applyFill="1" applyBorder="1" applyAlignment="1" applyProtection="1">
      <alignment horizontal="center" vertical="center"/>
      <protection locked="0"/>
    </xf>
    <xf numFmtId="3" fontId="8" fillId="0" borderId="10" xfId="0" applyNumberFormat="1" applyFont="1" applyFill="1" applyBorder="1" applyAlignment="1" applyProtection="1">
      <alignment horizontal="center" vertical="center"/>
      <protection/>
    </xf>
    <xf numFmtId="3" fontId="8" fillId="0" borderId="42" xfId="0" applyNumberFormat="1" applyFont="1" applyFill="1" applyBorder="1" applyAlignment="1" applyProtection="1">
      <alignment horizontal="center" vertical="center"/>
      <protection/>
    </xf>
    <xf numFmtId="169" fontId="59" fillId="0" borderId="10" xfId="50" applyNumberFormat="1" applyFont="1" applyFill="1" applyBorder="1" applyAlignment="1" applyProtection="1">
      <alignment horizontal="center" vertical="center" wrapText="1"/>
      <protection/>
    </xf>
    <xf numFmtId="0" fontId="66" fillId="0" borderId="16" xfId="0" applyFont="1" applyFill="1" applyBorder="1" applyAlignment="1" applyProtection="1">
      <alignment/>
      <protection/>
    </xf>
    <xf numFmtId="3" fontId="66" fillId="0" borderId="10" xfId="0" applyNumberFormat="1" applyFont="1" applyFill="1" applyBorder="1" applyAlignment="1" applyProtection="1">
      <alignment horizontal="center" vertical="center"/>
      <protection/>
    </xf>
    <xf numFmtId="3" fontId="66" fillId="0" borderId="42" xfId="0" applyNumberFormat="1" applyFont="1" applyFill="1" applyBorder="1" applyAlignment="1" applyProtection="1">
      <alignment horizontal="center" vertical="center"/>
      <protection/>
    </xf>
    <xf numFmtId="0" fontId="67" fillId="0" borderId="16" xfId="0" applyFont="1" applyFill="1" applyBorder="1" applyAlignment="1" applyProtection="1">
      <alignment vertical="center"/>
      <protection/>
    </xf>
    <xf numFmtId="0" fontId="58" fillId="0" borderId="15" xfId="0" applyFont="1" applyFill="1" applyBorder="1" applyAlignment="1" applyProtection="1">
      <alignment horizontal="center" vertical="center" wrapText="1"/>
      <protection/>
    </xf>
    <xf numFmtId="0" fontId="22" fillId="0" borderId="15" xfId="0" applyFont="1" applyFill="1" applyBorder="1" applyAlignment="1" applyProtection="1">
      <alignment horizontal="center" vertical="center" wrapText="1"/>
      <protection/>
    </xf>
    <xf numFmtId="0" fontId="59" fillId="0" borderId="15" xfId="0" applyFont="1" applyFill="1" applyBorder="1" applyAlignment="1" applyProtection="1">
      <alignment horizontal="center" vertical="center" wrapText="1"/>
      <protection/>
    </xf>
    <xf numFmtId="0" fontId="60" fillId="0" borderId="15" xfId="0" applyFont="1" applyFill="1" applyBorder="1" applyAlignment="1" applyProtection="1">
      <alignment horizontal="center" vertical="center" wrapText="1"/>
      <protection/>
    </xf>
    <xf numFmtId="9" fontId="58" fillId="0" borderId="15" xfId="0" applyNumberFormat="1" applyFont="1" applyFill="1" applyBorder="1" applyAlignment="1" applyProtection="1">
      <alignment horizontal="center" vertical="center" wrapText="1"/>
      <protection/>
    </xf>
    <xf numFmtId="169" fontId="59" fillId="0" borderId="15" xfId="50" applyNumberFormat="1" applyFont="1" applyFill="1" applyBorder="1" applyAlignment="1" applyProtection="1">
      <alignment horizontal="center" vertical="center" wrapText="1"/>
      <protection/>
    </xf>
    <xf numFmtId="0" fontId="61" fillId="0" borderId="15" xfId="0" applyFont="1" applyFill="1" applyBorder="1" applyAlignment="1" applyProtection="1">
      <alignment horizontal="justify" vertical="top"/>
      <protection locked="0"/>
    </xf>
    <xf numFmtId="0" fontId="64" fillId="0" borderId="15" xfId="0" applyFont="1" applyFill="1" applyBorder="1" applyAlignment="1" applyProtection="1">
      <alignment horizontal="justify" vertical="top" wrapText="1"/>
      <protection locked="0"/>
    </xf>
    <xf numFmtId="0" fontId="8" fillId="0" borderId="45" xfId="0" applyFont="1" applyFill="1" applyBorder="1" applyAlignment="1" applyProtection="1">
      <alignment/>
      <protection/>
    </xf>
    <xf numFmtId="3" fontId="8" fillId="0" borderId="18" xfId="0" applyNumberFormat="1" applyFont="1" applyFill="1" applyBorder="1" applyAlignment="1" applyProtection="1">
      <alignment horizontal="center" vertical="center"/>
      <protection locked="0"/>
    </xf>
    <xf numFmtId="3" fontId="8" fillId="0" borderId="18" xfId="0" applyNumberFormat="1" applyFont="1" applyFill="1" applyBorder="1" applyAlignment="1" applyProtection="1">
      <alignment horizontal="center" vertical="center"/>
      <protection/>
    </xf>
    <xf numFmtId="3" fontId="8" fillId="0" borderId="46" xfId="0" applyNumberFormat="1" applyFont="1" applyFill="1" applyBorder="1" applyAlignment="1" applyProtection="1">
      <alignment horizontal="center" vertical="center"/>
      <protection/>
    </xf>
    <xf numFmtId="0" fontId="58" fillId="0" borderId="11" xfId="0" applyNumberFormat="1" applyFont="1" applyFill="1" applyBorder="1" applyAlignment="1" applyProtection="1">
      <alignment horizontal="center" vertical="center" wrapText="1"/>
      <protection/>
    </xf>
    <xf numFmtId="0" fontId="22" fillId="0" borderId="11" xfId="0" applyNumberFormat="1" applyFont="1" applyFill="1" applyBorder="1" applyAlignment="1" applyProtection="1">
      <alignment horizontal="center" vertical="center" wrapText="1"/>
      <protection locked="0"/>
    </xf>
    <xf numFmtId="0" fontId="68" fillId="0" borderId="11" xfId="0" applyFont="1" applyFill="1" applyBorder="1" applyAlignment="1" applyProtection="1">
      <alignment horizontal="justify" vertical="top" wrapText="1"/>
      <protection locked="0"/>
    </xf>
    <xf numFmtId="0" fontId="71" fillId="0" borderId="11" xfId="0" applyFont="1" applyFill="1" applyBorder="1" applyAlignment="1" applyProtection="1">
      <alignment horizontal="justify" vertical="top" wrapText="1"/>
      <protection locked="0"/>
    </xf>
    <xf numFmtId="0" fontId="67" fillId="0" borderId="36" xfId="0" applyFont="1" applyFill="1" applyBorder="1" applyAlignment="1" applyProtection="1">
      <alignment vertical="center"/>
      <protection/>
    </xf>
    <xf numFmtId="3" fontId="8" fillId="0" borderId="37" xfId="0" applyNumberFormat="1" applyFont="1" applyFill="1" applyBorder="1" applyAlignment="1" applyProtection="1">
      <alignment horizontal="center" vertical="center"/>
      <protection locked="0"/>
    </xf>
    <xf numFmtId="3" fontId="8" fillId="0" borderId="37" xfId="0" applyNumberFormat="1" applyFont="1" applyFill="1" applyBorder="1" applyAlignment="1" applyProtection="1">
      <alignment horizontal="center" vertical="center"/>
      <protection/>
    </xf>
    <xf numFmtId="3" fontId="8" fillId="0" borderId="38" xfId="0" applyNumberFormat="1" applyFont="1" applyFill="1" applyBorder="1" applyAlignment="1" applyProtection="1">
      <alignment horizontal="center" vertical="center"/>
      <protection/>
    </xf>
    <xf numFmtId="0" fontId="58" fillId="0" borderId="25" xfId="0" applyNumberFormat="1" applyFont="1" applyFill="1" applyBorder="1" applyAlignment="1" applyProtection="1">
      <alignment horizontal="center" vertical="center" wrapText="1"/>
      <protection/>
    </xf>
    <xf numFmtId="0" fontId="22" fillId="0" borderId="25" xfId="0" applyNumberFormat="1" applyFont="1" applyFill="1" applyBorder="1" applyAlignment="1" applyProtection="1">
      <alignment horizontal="center" vertical="center" wrapText="1"/>
      <protection locked="0"/>
    </xf>
    <xf numFmtId="0" fontId="68" fillId="0" borderId="25" xfId="0" applyFont="1" applyFill="1" applyBorder="1" applyAlignment="1" applyProtection="1">
      <alignment horizontal="justify" vertical="top"/>
      <protection locked="0"/>
    </xf>
    <xf numFmtId="0" fontId="58" fillId="0" borderId="15"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wrapText="1"/>
      <protection locked="0"/>
    </xf>
    <xf numFmtId="0" fontId="68" fillId="0" borderId="15" xfId="0" applyFont="1" applyFill="1" applyBorder="1" applyAlignment="1" applyProtection="1">
      <alignment horizontal="justify" vertical="top"/>
      <protection locked="0"/>
    </xf>
    <xf numFmtId="0" fontId="59" fillId="0" borderId="11" xfId="0" applyFont="1" applyFill="1" applyBorder="1" applyAlignment="1" applyProtection="1">
      <alignment horizontal="left" vertical="center" wrapText="1" indent="1"/>
      <protection/>
    </xf>
    <xf numFmtId="0" fontId="59" fillId="0" borderId="25" xfId="0" applyFont="1" applyFill="1" applyBorder="1" applyAlignment="1" applyProtection="1">
      <alignment horizontal="left" vertical="center" wrapText="1" indent="1"/>
      <protection/>
    </xf>
    <xf numFmtId="0" fontId="62" fillId="0" borderId="25" xfId="0" applyFont="1" applyFill="1" applyBorder="1" applyAlignment="1" applyProtection="1">
      <alignment horizontal="justify" vertical="top"/>
      <protection locked="0"/>
    </xf>
    <xf numFmtId="0" fontId="61" fillId="0" borderId="25" xfId="0" applyFont="1" applyFill="1" applyBorder="1" applyAlignment="1" applyProtection="1">
      <alignment horizontal="justify" vertical="top" wrapText="1"/>
      <protection locked="0"/>
    </xf>
    <xf numFmtId="0" fontId="59" fillId="0" borderId="15" xfId="0" applyFont="1" applyFill="1" applyBorder="1" applyAlignment="1" applyProtection="1">
      <alignment horizontal="left" vertical="center" wrapText="1" indent="1"/>
      <protection/>
    </xf>
    <xf numFmtId="0" fontId="62" fillId="0" borderId="15" xfId="0" applyFont="1" applyFill="1" applyBorder="1" applyAlignment="1" applyProtection="1">
      <alignment horizontal="justify" vertical="top"/>
      <protection locked="0"/>
    </xf>
    <xf numFmtId="0" fontId="61" fillId="0" borderId="15" xfId="0" applyFont="1" applyFill="1" applyBorder="1" applyAlignment="1" applyProtection="1">
      <alignment horizontal="justify" vertical="top" wrapText="1"/>
      <protection locked="0"/>
    </xf>
    <xf numFmtId="0" fontId="60" fillId="0" borderId="11" xfId="0" applyFont="1" applyFill="1" applyBorder="1" applyAlignment="1" applyProtection="1">
      <alignment vertical="center" wrapText="1"/>
      <protection/>
    </xf>
    <xf numFmtId="0" fontId="60" fillId="0" borderId="10" xfId="0" applyNumberFormat="1" applyFont="1" applyFill="1" applyBorder="1" applyAlignment="1" applyProtection="1">
      <alignment horizontal="center" vertical="center" wrapText="1"/>
      <protection/>
    </xf>
    <xf numFmtId="0" fontId="22" fillId="0" borderId="10" xfId="0" applyNumberFormat="1" applyFont="1" applyFill="1" applyBorder="1" applyAlignment="1" applyProtection="1">
      <alignment vertical="center" wrapText="1"/>
      <protection locked="0"/>
    </xf>
    <xf numFmtId="0" fontId="73" fillId="0" borderId="11" xfId="0" applyFont="1" applyFill="1" applyBorder="1" applyAlignment="1" applyProtection="1">
      <alignment horizontal="justify" vertical="top" wrapText="1"/>
      <protection locked="0"/>
    </xf>
    <xf numFmtId="0" fontId="61" fillId="0" borderId="51" xfId="0" applyFont="1" applyFill="1" applyBorder="1" applyAlignment="1" applyProtection="1">
      <alignment horizontal="justify" vertical="top" wrapText="1"/>
      <protection locked="0"/>
    </xf>
    <xf numFmtId="0" fontId="60" fillId="0" borderId="25" xfId="0" applyFont="1" applyFill="1" applyBorder="1" applyAlignment="1" applyProtection="1">
      <alignment vertical="center" wrapText="1"/>
      <protection/>
    </xf>
    <xf numFmtId="0" fontId="60" fillId="0" borderId="10" xfId="0" applyFont="1" applyFill="1" applyBorder="1" applyAlignment="1" applyProtection="1">
      <alignment horizontal="center" vertical="center"/>
      <protection/>
    </xf>
    <xf numFmtId="0" fontId="73" fillId="0" borderId="25" xfId="0" applyFont="1" applyFill="1" applyBorder="1" applyAlignment="1" applyProtection="1">
      <alignment horizontal="justify" vertical="top"/>
      <protection locked="0"/>
    </xf>
    <xf numFmtId="0" fontId="73" fillId="0" borderId="25" xfId="0" applyFont="1" applyFill="1" applyBorder="1" applyAlignment="1" applyProtection="1">
      <alignment horizontal="justify" vertical="top" wrapText="1"/>
      <protection locked="0"/>
    </xf>
    <xf numFmtId="0" fontId="61" fillId="0" borderId="52" xfId="0" applyFont="1" applyFill="1" applyBorder="1" applyAlignment="1" applyProtection="1">
      <alignment horizontal="justify" vertical="top" wrapText="1"/>
      <protection locked="0"/>
    </xf>
    <xf numFmtId="0" fontId="60" fillId="0" borderId="25" xfId="0" applyFont="1" applyFill="1" applyBorder="1" applyAlignment="1" applyProtection="1">
      <alignment horizontal="left" vertical="center" wrapText="1"/>
      <protection/>
    </xf>
    <xf numFmtId="0" fontId="60" fillId="0" borderId="11" xfId="0" applyFont="1" applyFill="1" applyBorder="1" applyAlignment="1" applyProtection="1">
      <alignment horizontal="center" vertical="center"/>
      <protection/>
    </xf>
    <xf numFmtId="0" fontId="22" fillId="0" borderId="11" xfId="0" applyFont="1" applyFill="1" applyBorder="1" applyAlignment="1" applyProtection="1">
      <alignment vertical="center"/>
      <protection/>
    </xf>
    <xf numFmtId="0" fontId="60" fillId="0" borderId="25" xfId="0" applyFont="1" applyFill="1" applyBorder="1" applyAlignment="1" applyProtection="1">
      <alignment horizontal="center" vertical="center"/>
      <protection/>
    </xf>
    <xf numFmtId="0" fontId="22" fillId="0" borderId="25" xfId="0" applyFont="1" applyFill="1" applyBorder="1" applyAlignment="1" applyProtection="1">
      <alignment vertical="center"/>
      <protection/>
    </xf>
    <xf numFmtId="0" fontId="60" fillId="0" borderId="15" xfId="0" applyFont="1" applyFill="1" applyBorder="1" applyAlignment="1" applyProtection="1">
      <alignment horizontal="left" vertical="center" wrapText="1"/>
      <protection/>
    </xf>
    <xf numFmtId="0" fontId="60" fillId="0" borderId="15" xfId="0" applyFont="1" applyFill="1" applyBorder="1" applyAlignment="1" applyProtection="1">
      <alignment horizontal="center" vertical="center"/>
      <protection/>
    </xf>
    <xf numFmtId="0" fontId="22" fillId="0" borderId="15" xfId="0" applyFont="1" applyFill="1" applyBorder="1" applyAlignment="1" applyProtection="1">
      <alignment vertical="center"/>
      <protection/>
    </xf>
    <xf numFmtId="0" fontId="73" fillId="0" borderId="15" xfId="0" applyFont="1" applyFill="1" applyBorder="1" applyAlignment="1" applyProtection="1">
      <alignment horizontal="justify" vertical="top"/>
      <protection locked="0"/>
    </xf>
    <xf numFmtId="0" fontId="73" fillId="0" borderId="15" xfId="0" applyFont="1" applyFill="1" applyBorder="1" applyAlignment="1" applyProtection="1">
      <alignment horizontal="justify" vertical="top" wrapText="1"/>
      <protection locked="0"/>
    </xf>
    <xf numFmtId="0" fontId="61" fillId="0" borderId="53" xfId="0" applyFont="1" applyFill="1" applyBorder="1" applyAlignment="1" applyProtection="1">
      <alignment horizontal="justify" vertical="top" wrapText="1"/>
      <protection locked="0"/>
    </xf>
    <xf numFmtId="195" fontId="58" fillId="0" borderId="11" xfId="0" applyNumberFormat="1" applyFont="1" applyFill="1" applyBorder="1" applyAlignment="1" applyProtection="1">
      <alignment horizontal="center" vertical="center" wrapText="1"/>
      <protection/>
    </xf>
    <xf numFmtId="195" fontId="58" fillId="0" borderId="11" xfId="0" applyNumberFormat="1" applyFont="1" applyFill="1" applyBorder="1" applyAlignment="1" applyProtection="1">
      <alignment horizontal="center" vertical="center" wrapText="1"/>
      <protection locked="0"/>
    </xf>
    <xf numFmtId="0" fontId="61" fillId="0" borderId="10" xfId="0" applyFont="1" applyFill="1" applyBorder="1" applyAlignment="1" applyProtection="1">
      <alignment horizontal="justify" vertical="top" wrapText="1"/>
      <protection locked="0"/>
    </xf>
    <xf numFmtId="195" fontId="58" fillId="0" borderId="25" xfId="0" applyNumberFormat="1" applyFont="1" applyFill="1" applyBorder="1" applyAlignment="1" applyProtection="1">
      <alignment horizontal="center" vertical="center" wrapText="1"/>
      <protection/>
    </xf>
    <xf numFmtId="195" fontId="58" fillId="0" borderId="25" xfId="0" applyNumberFormat="1" applyFont="1" applyFill="1" applyBorder="1" applyAlignment="1" applyProtection="1">
      <alignment horizontal="center" vertical="center" wrapText="1"/>
      <protection locked="0"/>
    </xf>
    <xf numFmtId="0" fontId="61" fillId="0" borderId="10" xfId="0" applyFont="1" applyFill="1" applyBorder="1" applyAlignment="1" applyProtection="1">
      <alignment horizontal="justify" vertical="top"/>
      <protection locked="0"/>
    </xf>
    <xf numFmtId="195" fontId="58" fillId="0" borderId="15" xfId="0" applyNumberFormat="1" applyFont="1" applyFill="1" applyBorder="1" applyAlignment="1" applyProtection="1">
      <alignment horizontal="center" vertical="center" wrapText="1"/>
      <protection/>
    </xf>
    <xf numFmtId="195" fontId="58" fillId="0" borderId="15" xfId="0" applyNumberFormat="1" applyFont="1" applyFill="1" applyBorder="1" applyAlignment="1" applyProtection="1">
      <alignment horizontal="center" vertical="center" wrapText="1"/>
      <protection locked="0"/>
    </xf>
    <xf numFmtId="0" fontId="68" fillId="0" borderId="25" xfId="0" applyFont="1" applyFill="1" applyBorder="1" applyAlignment="1" applyProtection="1">
      <alignment horizontal="justify" vertical="top" wrapText="1"/>
      <protection locked="0"/>
    </xf>
    <xf numFmtId="0" fontId="59" fillId="38" borderId="10" xfId="0" applyFont="1" applyFill="1" applyBorder="1" applyAlignment="1" applyProtection="1">
      <alignment horizontal="center" vertical="center" wrapText="1"/>
      <protection/>
    </xf>
    <xf numFmtId="194" fontId="65" fillId="38" borderId="10" xfId="0" applyNumberFormat="1" applyFont="1" applyFill="1" applyBorder="1" applyAlignment="1" applyProtection="1">
      <alignment horizontal="center" vertical="center"/>
      <protection/>
    </xf>
    <xf numFmtId="0" fontId="0" fillId="38" borderId="0" xfId="0" applyFill="1" applyAlignment="1" applyProtection="1">
      <alignment vertical="center"/>
      <protection/>
    </xf>
    <xf numFmtId="169" fontId="59" fillId="38" borderId="10" xfId="50" applyNumberFormat="1" applyFont="1" applyFill="1" applyBorder="1" applyAlignment="1" applyProtection="1">
      <alignment horizontal="center" vertical="center" wrapText="1"/>
      <protection/>
    </xf>
    <xf numFmtId="0" fontId="68" fillId="0" borderId="15" xfId="0" applyFont="1" applyFill="1" applyBorder="1" applyAlignment="1" applyProtection="1">
      <alignment horizontal="justify" vertical="top" wrapText="1"/>
      <protection locked="0"/>
    </xf>
    <xf numFmtId="0" fontId="15" fillId="33" borderId="0" xfId="0" applyFont="1" applyFill="1" applyAlignment="1" applyProtection="1">
      <alignment vertical="center"/>
      <protection/>
    </xf>
    <xf numFmtId="0" fontId="15" fillId="33" borderId="10" xfId="0" applyFont="1" applyFill="1" applyBorder="1" applyAlignment="1" applyProtection="1">
      <alignment vertical="center"/>
      <protection/>
    </xf>
    <xf numFmtId="9" fontId="15" fillId="33" borderId="10" xfId="0" applyNumberFormat="1" applyFont="1" applyFill="1" applyBorder="1" applyAlignment="1" applyProtection="1">
      <alignment vertical="center"/>
      <protection/>
    </xf>
    <xf numFmtId="228" fontId="3" fillId="33" borderId="10" xfId="0" applyNumberFormat="1" applyFont="1" applyFill="1" applyBorder="1" applyAlignment="1" applyProtection="1">
      <alignment vertical="center"/>
      <protection/>
    </xf>
    <xf numFmtId="169" fontId="3" fillId="33" borderId="10" xfId="0" applyNumberFormat="1" applyFont="1" applyFill="1" applyBorder="1" applyAlignment="1" applyProtection="1">
      <alignment vertical="center"/>
      <protection/>
    </xf>
    <xf numFmtId="197" fontId="1" fillId="0" borderId="0" xfId="50" applyNumberFormat="1" applyFont="1" applyAlignment="1" applyProtection="1">
      <alignment/>
      <protection/>
    </xf>
    <xf numFmtId="197" fontId="1" fillId="0" borderId="0" xfId="50" applyNumberFormat="1" applyFont="1" applyFill="1" applyAlignment="1" applyProtection="1">
      <alignment/>
      <protection/>
    </xf>
    <xf numFmtId="169" fontId="0" fillId="0" borderId="0" xfId="0" applyNumberFormat="1" applyAlignment="1" applyProtection="1">
      <alignment vertical="center"/>
      <protection/>
    </xf>
    <xf numFmtId="203" fontId="0" fillId="0" borderId="0" xfId="0" applyNumberFormat="1" applyAlignment="1" applyProtection="1">
      <alignment vertical="center"/>
      <protection/>
    </xf>
    <xf numFmtId="1" fontId="0" fillId="0" borderId="0" xfId="0" applyNumberFormat="1" applyAlignment="1" applyProtection="1">
      <alignment vertical="center"/>
      <protection/>
    </xf>
    <xf numFmtId="209" fontId="0" fillId="0" borderId="0" xfId="0" applyNumberFormat="1" applyFill="1" applyAlignment="1" applyProtection="1">
      <alignment vertical="center"/>
      <protection/>
    </xf>
    <xf numFmtId="210" fontId="0" fillId="0" borderId="0" xfId="0" applyNumberFormat="1" applyFill="1" applyAlignment="1" applyProtection="1">
      <alignment vertical="center"/>
      <protection/>
    </xf>
    <xf numFmtId="2" fontId="0" fillId="0" borderId="0" xfId="0" applyNumberFormat="1" applyAlignment="1" applyProtection="1">
      <alignment vertical="center"/>
      <protection/>
    </xf>
    <xf numFmtId="198" fontId="0" fillId="0" borderId="0" xfId="0" applyNumberFormat="1" applyAlignment="1" applyProtection="1">
      <alignment vertical="center"/>
      <protection/>
    </xf>
    <xf numFmtId="171" fontId="1" fillId="0" borderId="0" xfId="50" applyFont="1" applyAlignment="1" applyProtection="1">
      <alignment vertical="center"/>
      <protection/>
    </xf>
    <xf numFmtId="0" fontId="0" fillId="0" borderId="0" xfId="0" applyAlignment="1" applyProtection="1">
      <alignment horizontal="left" vertical="center"/>
      <protection/>
    </xf>
    <xf numFmtId="193" fontId="0" fillId="0" borderId="0" xfId="0" applyNumberFormat="1" applyAlignment="1" applyProtection="1">
      <alignment vertical="center"/>
      <protection/>
    </xf>
    <xf numFmtId="199" fontId="0" fillId="0" borderId="0" xfId="0" applyNumberFormat="1" applyAlignment="1" applyProtection="1">
      <alignment vertical="center"/>
      <protection/>
    </xf>
    <xf numFmtId="200" fontId="1" fillId="39" borderId="54" xfId="50" applyNumberFormat="1" applyFont="1" applyFill="1" applyBorder="1" applyAlignment="1" applyProtection="1">
      <alignment vertical="center"/>
      <protection/>
    </xf>
    <xf numFmtId="9" fontId="1" fillId="0" borderId="0" xfId="60" applyFont="1" applyAlignment="1" applyProtection="1">
      <alignment vertical="center"/>
      <protection/>
    </xf>
    <xf numFmtId="200" fontId="1" fillId="0" borderId="0" xfId="50" applyNumberFormat="1" applyFont="1" applyAlignment="1" applyProtection="1">
      <alignment vertical="center"/>
      <protection/>
    </xf>
    <xf numFmtId="200" fontId="0" fillId="39" borderId="54" xfId="0" applyNumberFormat="1" applyFill="1" applyBorder="1" applyAlignment="1" applyProtection="1">
      <alignment vertical="center"/>
      <protection/>
    </xf>
    <xf numFmtId="0" fontId="107" fillId="0" borderId="39" xfId="0" applyFont="1" applyBorder="1" applyAlignment="1">
      <alignment horizontal="center" wrapText="1"/>
    </xf>
    <xf numFmtId="0" fontId="107" fillId="0" borderId="40" xfId="0" applyFont="1" applyBorder="1" applyAlignment="1">
      <alignment horizontal="center" wrapText="1"/>
    </xf>
    <xf numFmtId="0" fontId="107" fillId="0" borderId="41" xfId="0" applyFont="1" applyBorder="1" applyAlignment="1">
      <alignment horizontal="center" wrapText="1"/>
    </xf>
    <xf numFmtId="0" fontId="52" fillId="0" borderId="40" xfId="0" applyFont="1" applyBorder="1" applyAlignment="1">
      <alignment wrapText="1"/>
    </xf>
    <xf numFmtId="0" fontId="107" fillId="0" borderId="43" xfId="0" applyFont="1" applyBorder="1" applyAlignment="1">
      <alignment horizontal="center" wrapText="1"/>
    </xf>
    <xf numFmtId="0" fontId="107" fillId="0" borderId="0" xfId="0" applyFont="1" applyBorder="1" applyAlignment="1">
      <alignment horizontal="center" wrapText="1"/>
    </xf>
    <xf numFmtId="0" fontId="107" fillId="0" borderId="44" xfId="0" applyFont="1" applyBorder="1" applyAlignment="1">
      <alignment horizontal="center" wrapText="1"/>
    </xf>
    <xf numFmtId="0" fontId="52" fillId="0" borderId="0" xfId="0" applyFont="1" applyBorder="1" applyAlignment="1">
      <alignment wrapText="1"/>
    </xf>
    <xf numFmtId="0" fontId="107" fillId="0" borderId="47" xfId="0" applyFont="1" applyBorder="1" applyAlignment="1">
      <alignment horizontal="center" wrapText="1"/>
    </xf>
    <xf numFmtId="0" fontId="107" fillId="0" borderId="48" xfId="0" applyFont="1" applyBorder="1" applyAlignment="1">
      <alignment horizontal="center" wrapText="1"/>
    </xf>
    <xf numFmtId="0" fontId="107" fillId="0" borderId="49" xfId="0" applyFont="1" applyBorder="1" applyAlignment="1">
      <alignment horizontal="center" wrapText="1"/>
    </xf>
    <xf numFmtId="0" fontId="52" fillId="0" borderId="48" xfId="0" applyFont="1" applyBorder="1" applyAlignment="1">
      <alignment wrapText="1"/>
    </xf>
    <xf numFmtId="0" fontId="8" fillId="0" borderId="0" xfId="0" applyFont="1" applyAlignment="1" applyProtection="1">
      <alignment vertical="center"/>
      <protection/>
    </xf>
    <xf numFmtId="0" fontId="0" fillId="0" borderId="0" xfId="0" applyFont="1" applyAlignment="1" applyProtection="1">
      <alignment vertical="center"/>
      <protection/>
    </xf>
    <xf numFmtId="0" fontId="3" fillId="33" borderId="55" xfId="0" applyFont="1" applyFill="1" applyBorder="1" applyAlignment="1" applyProtection="1">
      <alignment horizontal="center" vertical="center" wrapText="1"/>
      <protection/>
    </xf>
    <xf numFmtId="0" fontId="3" fillId="33" borderId="55" xfId="0" applyFont="1" applyFill="1" applyBorder="1" applyAlignment="1" applyProtection="1">
      <alignment horizontal="center" vertical="center" wrapText="1"/>
      <protection/>
    </xf>
    <xf numFmtId="0" fontId="3" fillId="33" borderId="13" xfId="0" applyFont="1" applyFill="1" applyBorder="1" applyAlignment="1" applyProtection="1">
      <alignment vertical="center" wrapText="1"/>
      <protection/>
    </xf>
    <xf numFmtId="3" fontId="3" fillId="33" borderId="30" xfId="0" applyNumberFormat="1" applyFont="1" applyFill="1" applyBorder="1" applyAlignment="1" applyProtection="1">
      <alignment horizontal="center" vertical="center" wrapText="1"/>
      <protection/>
    </xf>
    <xf numFmtId="3" fontId="3" fillId="33" borderId="31" xfId="0" applyNumberFormat="1" applyFont="1" applyFill="1" applyBorder="1" applyAlignment="1" applyProtection="1">
      <alignment horizontal="center" vertical="center" wrapText="1"/>
      <protection/>
    </xf>
    <xf numFmtId="3" fontId="3" fillId="33" borderId="19" xfId="0" applyNumberFormat="1"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3" fontId="4" fillId="33" borderId="12" xfId="0" applyNumberFormat="1" applyFont="1" applyFill="1" applyBorder="1" applyAlignment="1" applyProtection="1">
      <alignment horizontal="center" vertical="center" wrapText="1"/>
      <protection/>
    </xf>
    <xf numFmtId="196" fontId="59" fillId="0" borderId="10" xfId="0" applyNumberFormat="1" applyFont="1" applyFill="1" applyBorder="1" applyAlignment="1" applyProtection="1">
      <alignment horizontal="center" vertical="center"/>
      <protection/>
    </xf>
    <xf numFmtId="0" fontId="59"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justify" vertical="center" wrapText="1"/>
      <protection/>
    </xf>
    <xf numFmtId="0" fontId="59" fillId="0" borderId="10" xfId="0" applyFont="1" applyFill="1" applyBorder="1" applyAlignment="1" applyProtection="1">
      <alignment horizontal="left" vertical="center" wrapText="1"/>
      <protection/>
    </xf>
    <xf numFmtId="9" fontId="74" fillId="0" borderId="10" xfId="0" applyNumberFormat="1" applyFont="1" applyFill="1" applyBorder="1" applyAlignment="1" applyProtection="1">
      <alignment horizontal="center" vertical="center" wrapText="1"/>
      <protection/>
    </xf>
    <xf numFmtId="200" fontId="1" fillId="0" borderId="10" xfId="50" applyNumberFormat="1" applyFont="1" applyFill="1" applyBorder="1" applyAlignment="1" applyProtection="1">
      <alignment horizontal="right" vertical="center" wrapText="1"/>
      <protection/>
    </xf>
    <xf numFmtId="3" fontId="59" fillId="0" borderId="10" xfId="0" applyNumberFormat="1" applyFont="1" applyFill="1" applyBorder="1" applyAlignment="1" applyProtection="1">
      <alignment horizontal="right" vertical="center"/>
      <protection locked="0"/>
    </xf>
    <xf numFmtId="3" fontId="108" fillId="0" borderId="10" xfId="0" applyNumberFormat="1" applyFont="1" applyFill="1" applyBorder="1" applyAlignment="1" applyProtection="1">
      <alignment horizontal="right" vertical="center"/>
      <protection locked="0"/>
    </xf>
    <xf numFmtId="37" fontId="0" fillId="0" borderId="10" xfId="50" applyNumberFormat="1" applyFont="1" applyFill="1" applyBorder="1" applyAlignment="1" applyProtection="1">
      <alignment horizontal="right" vertical="center" wrapText="1"/>
      <protection/>
    </xf>
    <xf numFmtId="0" fontId="36" fillId="0" borderId="10" xfId="0" applyFont="1" applyFill="1" applyBorder="1" applyAlignment="1" applyProtection="1">
      <alignment horizontal="justify" vertical="top" wrapText="1"/>
      <protection locked="0"/>
    </xf>
    <xf numFmtId="3" fontId="59" fillId="0" borderId="10" xfId="0" applyNumberFormat="1" applyFont="1" applyFill="1" applyBorder="1" applyAlignment="1" applyProtection="1">
      <alignment horizontal="center" vertical="center"/>
      <protection locked="0"/>
    </xf>
    <xf numFmtId="195" fontId="59" fillId="0" borderId="10" xfId="60" applyNumberFormat="1" applyFont="1" applyFill="1" applyBorder="1" applyAlignment="1" applyProtection="1">
      <alignment horizontal="center" vertical="center"/>
      <protection locked="0"/>
    </xf>
    <xf numFmtId="0" fontId="59" fillId="0" borderId="10" xfId="0" applyFont="1" applyFill="1" applyBorder="1" applyAlignment="1" applyProtection="1">
      <alignment horizontal="center" vertical="center"/>
      <protection locked="0"/>
    </xf>
    <xf numFmtId="200" fontId="17" fillId="0" borderId="10" xfId="50" applyNumberFormat="1" applyFont="1" applyFill="1" applyBorder="1" applyAlignment="1" applyProtection="1">
      <alignment horizontal="right" vertical="center" wrapText="1"/>
      <protection/>
    </xf>
    <xf numFmtId="0" fontId="59" fillId="0" borderId="10" xfId="0" applyFont="1" applyFill="1" applyBorder="1" applyAlignment="1" applyProtection="1">
      <alignment vertical="center"/>
      <protection locked="0"/>
    </xf>
    <xf numFmtId="0" fontId="76" fillId="0" borderId="0" xfId="0" applyFont="1" applyFill="1" applyAlignment="1">
      <alignment horizontal="justify"/>
    </xf>
    <xf numFmtId="196" fontId="77" fillId="40" borderId="10" xfId="0" applyNumberFormat="1" applyFont="1" applyFill="1" applyBorder="1" applyAlignment="1" applyProtection="1">
      <alignment horizontal="center" vertical="center"/>
      <protection/>
    </xf>
    <xf numFmtId="196" fontId="59" fillId="40" borderId="10" xfId="0" applyNumberFormat="1" applyFont="1" applyFill="1" applyBorder="1" applyAlignment="1" applyProtection="1">
      <alignment horizontal="center" vertical="center"/>
      <protection/>
    </xf>
    <xf numFmtId="0" fontId="59" fillId="40" borderId="10" xfId="0" applyFont="1" applyFill="1" applyBorder="1" applyAlignment="1" applyProtection="1">
      <alignment horizontal="center" vertical="center"/>
      <protection/>
    </xf>
    <xf numFmtId="0" fontId="59" fillId="40" borderId="10" xfId="0" applyFont="1" applyFill="1" applyBorder="1" applyAlignment="1" applyProtection="1">
      <alignment horizontal="left" vertical="center" wrapText="1"/>
      <protection/>
    </xf>
    <xf numFmtId="0" fontId="78" fillId="40" borderId="10" xfId="0" applyFont="1" applyFill="1" applyBorder="1" applyAlignment="1" applyProtection="1">
      <alignment horizontal="center" vertical="center"/>
      <protection/>
    </xf>
    <xf numFmtId="3" fontId="77" fillId="40" borderId="10" xfId="0" applyNumberFormat="1" applyFont="1" applyFill="1" applyBorder="1" applyAlignment="1" applyProtection="1">
      <alignment horizontal="right" vertical="center"/>
      <protection/>
    </xf>
    <xf numFmtId="3" fontId="109" fillId="40" borderId="10" xfId="0" applyNumberFormat="1" applyFont="1" applyFill="1" applyBorder="1" applyAlignment="1" applyProtection="1">
      <alignment horizontal="right" vertical="center"/>
      <protection/>
    </xf>
    <xf numFmtId="0" fontId="59" fillId="40" borderId="10" xfId="0" applyFont="1" applyFill="1" applyBorder="1" applyAlignment="1" applyProtection="1">
      <alignment horizontal="justify" vertical="top" wrapText="1"/>
      <protection/>
    </xf>
    <xf numFmtId="0" fontId="59" fillId="40" borderId="10" xfId="0" applyFont="1" applyFill="1" applyBorder="1" applyAlignment="1" applyProtection="1">
      <alignment vertical="center"/>
      <protection/>
    </xf>
    <xf numFmtId="3" fontId="77" fillId="40" borderId="10" xfId="0" applyNumberFormat="1" applyFont="1" applyFill="1" applyBorder="1" applyAlignment="1" applyProtection="1">
      <alignment horizontal="center" vertical="center"/>
      <protection/>
    </xf>
    <xf numFmtId="3" fontId="59" fillId="40" borderId="10" xfId="0" applyNumberFormat="1" applyFont="1" applyFill="1" applyBorder="1" applyAlignment="1" applyProtection="1">
      <alignment horizontal="center" vertical="center"/>
      <protection/>
    </xf>
    <xf numFmtId="195" fontId="59" fillId="40" borderId="10" xfId="60" applyNumberFormat="1" applyFont="1" applyFill="1" applyBorder="1" applyAlignment="1" applyProtection="1">
      <alignment horizontal="center" vertical="center"/>
      <protection/>
    </xf>
    <xf numFmtId="0" fontId="0" fillId="40" borderId="0" xfId="0" applyFill="1" applyAlignment="1" applyProtection="1">
      <alignment vertical="center"/>
      <protection/>
    </xf>
    <xf numFmtId="0" fontId="59" fillId="0" borderId="10" xfId="0" applyFont="1" applyFill="1" applyBorder="1" applyAlignment="1" applyProtection="1">
      <alignment horizontal="justify" vertical="center" wrapText="1"/>
      <protection/>
    </xf>
    <xf numFmtId="0" fontId="79" fillId="0" borderId="10" xfId="0" applyNumberFormat="1" applyFont="1" applyFill="1" applyBorder="1" applyAlignment="1" applyProtection="1">
      <alignment vertical="center" wrapText="1"/>
      <protection locked="0"/>
    </xf>
    <xf numFmtId="0" fontId="79" fillId="0" borderId="10" xfId="0" applyFont="1" applyFill="1" applyBorder="1" applyAlignment="1" applyProtection="1">
      <alignment horizontal="justify" vertical="center" wrapText="1"/>
      <protection locked="0"/>
    </xf>
    <xf numFmtId="0" fontId="79" fillId="0" borderId="10" xfId="0" applyFont="1" applyFill="1" applyBorder="1" applyAlignment="1" applyProtection="1">
      <alignment horizontal="justify" vertical="center"/>
      <protection locked="0"/>
    </xf>
    <xf numFmtId="0" fontId="79" fillId="0" borderId="0" xfId="0" applyFont="1" applyFill="1" applyAlignment="1" applyProtection="1">
      <alignment horizontal="justify" vertical="center" wrapText="1"/>
      <protection locked="0"/>
    </xf>
    <xf numFmtId="196" fontId="77" fillId="0" borderId="10" xfId="0" applyNumberFormat="1" applyFont="1" applyFill="1" applyBorder="1" applyAlignment="1" applyProtection="1">
      <alignment horizontal="center" vertical="center"/>
      <protection/>
    </xf>
    <xf numFmtId="200" fontId="8" fillId="0" borderId="10" xfId="50" applyNumberFormat="1" applyFont="1" applyFill="1" applyBorder="1" applyAlignment="1">
      <alignment horizontal="right" vertical="center" wrapText="1"/>
    </xf>
    <xf numFmtId="0" fontId="79" fillId="0" borderId="10" xfId="0" applyFont="1" applyFill="1" applyBorder="1" applyAlignment="1" applyProtection="1">
      <alignment vertical="center" wrapText="1"/>
      <protection locked="0"/>
    </xf>
    <xf numFmtId="0" fontId="74" fillId="0" borderId="10" xfId="0" applyNumberFormat="1" applyFont="1" applyFill="1" applyBorder="1" applyAlignment="1" applyProtection="1">
      <alignment horizontal="center" vertical="center" wrapText="1"/>
      <protection/>
    </xf>
    <xf numFmtId="0" fontId="58" fillId="0" borderId="10" xfId="0" applyFont="1" applyFill="1" applyBorder="1" applyAlignment="1" applyProtection="1">
      <alignment horizontal="center" vertical="center"/>
      <protection locked="0"/>
    </xf>
    <xf numFmtId="0" fontId="110" fillId="0" borderId="10" xfId="0" applyFont="1" applyFill="1" applyBorder="1" applyAlignment="1" applyProtection="1">
      <alignment horizontal="justify" vertical="center" wrapText="1"/>
      <protection locked="0"/>
    </xf>
    <xf numFmtId="0" fontId="76" fillId="0" borderId="0" xfId="0" applyFont="1" applyFill="1" applyAlignment="1">
      <alignment/>
    </xf>
    <xf numFmtId="0" fontId="111" fillId="0" borderId="10" xfId="0" applyNumberFormat="1" applyFont="1" applyFill="1" applyBorder="1" applyAlignment="1" applyProtection="1">
      <alignment horizontal="center" vertical="center" wrapText="1"/>
      <protection/>
    </xf>
    <xf numFmtId="3" fontId="109" fillId="0" borderId="10" xfId="0" applyNumberFormat="1" applyFont="1" applyFill="1" applyBorder="1" applyAlignment="1" applyProtection="1">
      <alignment horizontal="right" vertical="center"/>
      <protection locked="0"/>
    </xf>
    <xf numFmtId="0" fontId="60" fillId="40" borderId="10" xfId="0" applyFont="1" applyFill="1" applyBorder="1" applyAlignment="1" applyProtection="1">
      <alignment horizontal="justify" vertical="center" wrapText="1"/>
      <protection/>
    </xf>
    <xf numFmtId="9" fontId="58" fillId="40" borderId="10" xfId="58" applyNumberFormat="1" applyFont="1" applyFill="1" applyBorder="1" applyAlignment="1" applyProtection="1">
      <alignment horizontal="center" vertical="center" wrapText="1"/>
      <protection/>
    </xf>
    <xf numFmtId="9" fontId="78" fillId="40" borderId="10" xfId="58" applyNumberFormat="1" applyFont="1" applyFill="1" applyBorder="1" applyAlignment="1" applyProtection="1">
      <alignment horizontal="center" vertical="center" wrapText="1"/>
      <protection/>
    </xf>
    <xf numFmtId="0" fontId="83" fillId="40" borderId="10" xfId="0" applyFont="1" applyFill="1" applyBorder="1" applyAlignment="1" applyProtection="1">
      <alignment horizontal="justify" vertical="top" wrapText="1"/>
      <protection/>
    </xf>
    <xf numFmtId="1" fontId="74" fillId="0" borderId="10" xfId="55" applyNumberFormat="1" applyFont="1" applyFill="1" applyBorder="1" applyAlignment="1" applyProtection="1">
      <alignment horizontal="center" vertical="center" wrapText="1"/>
      <protection/>
    </xf>
    <xf numFmtId="0" fontId="36" fillId="0" borderId="11" xfId="0" applyFont="1" applyFill="1" applyBorder="1" applyAlignment="1" applyProtection="1">
      <alignment horizontal="center" vertical="center" wrapText="1"/>
      <protection locked="0"/>
    </xf>
    <xf numFmtId="0" fontId="74" fillId="0" borderId="11" xfId="0" applyNumberFormat="1" applyFont="1" applyFill="1" applyBorder="1" applyAlignment="1" applyProtection="1">
      <alignment horizontal="center" vertical="center" wrapText="1"/>
      <protection/>
    </xf>
    <xf numFmtId="0" fontId="36" fillId="0" borderId="25" xfId="0" applyFont="1" applyFill="1" applyBorder="1" applyAlignment="1" applyProtection="1">
      <alignment horizontal="center" vertical="center" wrapText="1"/>
      <protection locked="0"/>
    </xf>
    <xf numFmtId="0" fontId="36" fillId="0" borderId="15" xfId="0" applyFont="1" applyFill="1" applyBorder="1" applyAlignment="1" applyProtection="1">
      <alignment horizontal="center" vertical="center" wrapText="1"/>
      <protection locked="0"/>
    </xf>
    <xf numFmtId="0" fontId="58" fillId="40" borderId="10" xfId="0" applyFont="1" applyFill="1" applyBorder="1" applyAlignment="1" applyProtection="1">
      <alignment horizontal="justify" vertical="top" wrapText="1"/>
      <protection/>
    </xf>
    <xf numFmtId="0" fontId="77" fillId="0" borderId="10" xfId="0" applyFont="1" applyFill="1" applyBorder="1" applyAlignment="1" applyProtection="1">
      <alignment horizontal="center" vertical="center" wrapText="1"/>
      <protection/>
    </xf>
    <xf numFmtId="9" fontId="74" fillId="0" borderId="10" xfId="60" applyFont="1" applyFill="1" applyBorder="1" applyAlignment="1" applyProtection="1">
      <alignment horizontal="center" vertical="center" wrapText="1"/>
      <protection/>
    </xf>
    <xf numFmtId="0" fontId="36"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center" vertical="center" wrapText="1"/>
      <protection/>
    </xf>
    <xf numFmtId="200" fontId="95" fillId="0" borderId="10" xfId="50" applyNumberFormat="1" applyFont="1" applyFill="1" applyBorder="1" applyAlignment="1">
      <alignment horizontal="right" vertical="center" wrapText="1"/>
    </xf>
    <xf numFmtId="1" fontId="58" fillId="0" borderId="10" xfId="55" applyNumberFormat="1" applyFont="1" applyFill="1" applyBorder="1" applyAlignment="1" applyProtection="1">
      <alignment horizontal="center" vertical="center" wrapText="1"/>
      <protection/>
    </xf>
    <xf numFmtId="9" fontId="17" fillId="0" borderId="10" xfId="0" applyNumberFormat="1" applyFont="1" applyFill="1" applyBorder="1" applyAlignment="1" applyProtection="1">
      <alignment horizontal="center" vertical="center" wrapText="1"/>
      <protection/>
    </xf>
    <xf numFmtId="0" fontId="59" fillId="0" borderId="10" xfId="0" applyFont="1" applyFill="1" applyBorder="1" applyAlignment="1" applyProtection="1">
      <alignment vertical="center" wrapText="1"/>
      <protection locked="0"/>
    </xf>
    <xf numFmtId="195" fontId="58" fillId="40" borderId="10" xfId="58" applyNumberFormat="1" applyFont="1" applyFill="1" applyBorder="1" applyAlignment="1" applyProtection="1">
      <alignment horizontal="center" vertical="center" wrapText="1"/>
      <protection/>
    </xf>
    <xf numFmtId="196" fontId="77" fillId="0" borderId="0" xfId="0" applyNumberFormat="1" applyFont="1" applyFill="1" applyBorder="1" applyAlignment="1" applyProtection="1">
      <alignment horizontal="center" vertical="center"/>
      <protection/>
    </xf>
    <xf numFmtId="0" fontId="3" fillId="41" borderId="10" xfId="0" applyFont="1" applyFill="1" applyBorder="1" applyAlignment="1" applyProtection="1">
      <alignment horizontal="center" vertical="center"/>
      <protection/>
    </xf>
    <xf numFmtId="0" fontId="3" fillId="41" borderId="10" xfId="0" applyFont="1" applyFill="1" applyBorder="1" applyAlignment="1" applyProtection="1">
      <alignment horizontal="left" vertical="center" wrapText="1"/>
      <protection/>
    </xf>
    <xf numFmtId="9" fontId="3" fillId="41" borderId="10" xfId="0" applyNumberFormat="1" applyFont="1" applyFill="1" applyBorder="1" applyAlignment="1" applyProtection="1">
      <alignment horizontal="center" vertical="center" wrapText="1"/>
      <protection/>
    </xf>
    <xf numFmtId="9" fontId="84" fillId="41" borderId="10" xfId="0" applyNumberFormat="1" applyFont="1" applyFill="1" applyBorder="1" applyAlignment="1" applyProtection="1">
      <alignment horizontal="center" vertical="center" wrapText="1"/>
      <protection/>
    </xf>
    <xf numFmtId="3" fontId="3" fillId="41" borderId="10" xfId="0" applyNumberFormat="1" applyFont="1" applyFill="1" applyBorder="1" applyAlignment="1" applyProtection="1">
      <alignment horizontal="center" vertical="center"/>
      <protection/>
    </xf>
    <xf numFmtId="3" fontId="85" fillId="42" borderId="10" xfId="0" applyNumberFormat="1" applyFont="1" applyFill="1" applyBorder="1" applyAlignment="1" applyProtection="1">
      <alignment horizontal="center" vertical="center"/>
      <protection/>
    </xf>
    <xf numFmtId="0" fontId="5" fillId="0" borderId="0" xfId="0" applyFont="1" applyAlignment="1" applyProtection="1">
      <alignment vertical="center"/>
      <protection/>
    </xf>
    <xf numFmtId="200" fontId="0" fillId="0" borderId="0" xfId="50" applyNumberFormat="1" applyFont="1" applyAlignment="1" applyProtection="1">
      <alignment vertical="center"/>
      <protection/>
    </xf>
    <xf numFmtId="200" fontId="0" fillId="0" borderId="0" xfId="0" applyNumberFormat="1" applyAlignment="1" applyProtection="1">
      <alignment vertical="center"/>
      <protection/>
    </xf>
    <xf numFmtId="200" fontId="0" fillId="0" borderId="0" xfId="0" applyNumberFormat="1" applyFill="1" applyAlignment="1" applyProtection="1">
      <alignment vertical="center"/>
      <protection/>
    </xf>
    <xf numFmtId="204" fontId="0" fillId="0" borderId="0" xfId="0" applyNumberFormat="1" applyAlignment="1" applyProtection="1">
      <alignment vertical="center"/>
      <protection/>
    </xf>
    <xf numFmtId="200" fontId="0" fillId="0" borderId="0" xfId="0" applyNumberFormat="1" applyFont="1" applyAlignment="1" applyProtection="1">
      <alignment vertical="center"/>
      <protection/>
    </xf>
    <xf numFmtId="229" fontId="0" fillId="0" borderId="0" xfId="50" applyNumberFormat="1" applyFont="1" applyAlignment="1">
      <alignment/>
    </xf>
    <xf numFmtId="208" fontId="0" fillId="0" borderId="0" xfId="0" applyNumberFormat="1" applyAlignment="1" applyProtection="1">
      <alignment vertical="center"/>
      <protection/>
    </xf>
    <xf numFmtId="3" fontId="0" fillId="0" borderId="0" xfId="0" applyNumberFormat="1" applyFont="1" applyAlignment="1" applyProtection="1">
      <alignment vertical="center"/>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_Actividades" xfId="55"/>
    <cellStyle name="Notas" xfId="56"/>
    <cellStyle name="Percent" xfId="57"/>
    <cellStyle name="Porcentual 2" xfId="58"/>
    <cellStyle name="Porcentual 3" xfId="59"/>
    <cellStyle name="Porcentual 4" xfId="60"/>
    <cellStyle name="Salida" xfId="61"/>
    <cellStyle name="Texto de advertencia" xfId="62"/>
    <cellStyle name="Texto explicativo" xfId="63"/>
    <cellStyle name="Título" xfId="64"/>
    <cellStyle name="Título 1" xfId="65"/>
    <cellStyle name="Título 2" xfId="66"/>
    <cellStyle name="Título 3" xfId="67"/>
    <cellStyle name="Total" xfId="68"/>
  </cellStyles>
  <dxfs count="6">
    <dxf>
      <font>
        <color indexed="9"/>
      </font>
      <fill>
        <patternFill>
          <bgColor indexed="10"/>
        </patternFill>
      </fill>
    </dxf>
    <dxf>
      <font>
        <color theme="0"/>
      </font>
      <fill>
        <patternFill>
          <bgColor theme="5"/>
        </patternFill>
      </fill>
    </dxf>
    <dxf>
      <font>
        <color theme="0"/>
      </font>
      <fill>
        <patternFill>
          <bgColor theme="5"/>
        </patternFill>
      </fill>
    </dxf>
    <dxf>
      <font>
        <color indexed="9"/>
      </font>
      <fill>
        <patternFill>
          <bgColor indexed="10"/>
        </patternFill>
      </fill>
    </dxf>
    <dxf>
      <font>
        <color theme="0"/>
      </font>
      <fill>
        <patternFill>
          <bgColor theme="5"/>
        </patternFill>
      </fill>
      <border/>
    </dxf>
    <dxf>
      <font>
        <color rgb="FFFFFFFF"/>
      </font>
      <fill>
        <patternFill>
          <bgColor rgb="FFDD0806"/>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114300</xdr:colOff>
      <xdr:row>2</xdr:row>
      <xdr:rowOff>9525</xdr:rowOff>
    </xdr:from>
    <xdr:to>
      <xdr:col>22</xdr:col>
      <xdr:colOff>1038225</xdr:colOff>
      <xdr:row>7</xdr:row>
      <xdr:rowOff>161925</xdr:rowOff>
    </xdr:to>
    <xdr:pic>
      <xdr:nvPicPr>
        <xdr:cNvPr id="1" name="3 Imagen" descr="SIG.jpg"/>
        <xdr:cNvPicPr preferRelativeResize="1">
          <a:picLocks noChangeAspect="1"/>
        </xdr:cNvPicPr>
      </xdr:nvPicPr>
      <xdr:blipFill>
        <a:blip r:embed="rId1"/>
        <a:stretch>
          <a:fillRect/>
        </a:stretch>
      </xdr:blipFill>
      <xdr:spPr>
        <a:xfrm>
          <a:off x="6400800" y="371475"/>
          <a:ext cx="1038225" cy="1057275"/>
        </a:xfrm>
        <a:prstGeom prst="rect">
          <a:avLst/>
        </a:prstGeom>
        <a:noFill/>
        <a:ln w="9525" cmpd="sng">
          <a:noFill/>
        </a:ln>
      </xdr:spPr>
    </xdr:pic>
    <xdr:clientData/>
  </xdr:twoCellAnchor>
  <xdr:twoCellAnchor editAs="oneCell">
    <xdr:from>
      <xdr:col>1</xdr:col>
      <xdr:colOff>133350</xdr:colOff>
      <xdr:row>1</xdr:row>
      <xdr:rowOff>123825</xdr:rowOff>
    </xdr:from>
    <xdr:to>
      <xdr:col>8</xdr:col>
      <xdr:colOff>171450</xdr:colOff>
      <xdr:row>7</xdr:row>
      <xdr:rowOff>104775</xdr:rowOff>
    </xdr:to>
    <xdr:pic>
      <xdr:nvPicPr>
        <xdr:cNvPr id="2" name="2 Imagen" descr="Escudo Bogotá_sds_color.jpg"/>
        <xdr:cNvPicPr preferRelativeResize="1">
          <a:picLocks noChangeAspect="1"/>
        </xdr:cNvPicPr>
      </xdr:nvPicPr>
      <xdr:blipFill>
        <a:blip r:embed="rId2"/>
        <a:stretch>
          <a:fillRect/>
        </a:stretch>
      </xdr:blipFill>
      <xdr:spPr>
        <a:xfrm>
          <a:off x="0" y="304800"/>
          <a:ext cx="790575" cy="1066800"/>
        </a:xfrm>
        <a:prstGeom prst="rect">
          <a:avLst/>
        </a:prstGeom>
        <a:noFill/>
        <a:ln w="9525" cmpd="sng">
          <a:noFill/>
        </a:ln>
      </xdr:spPr>
    </xdr:pic>
    <xdr:clientData/>
  </xdr:twoCellAnchor>
  <xdr:twoCellAnchor editAs="oneCell">
    <xdr:from>
      <xdr:col>41</xdr:col>
      <xdr:colOff>171450</xdr:colOff>
      <xdr:row>1</xdr:row>
      <xdr:rowOff>114300</xdr:rowOff>
    </xdr:from>
    <xdr:to>
      <xdr:col>42</xdr:col>
      <xdr:colOff>333375</xdr:colOff>
      <xdr:row>7</xdr:row>
      <xdr:rowOff>57150</xdr:rowOff>
    </xdr:to>
    <xdr:pic>
      <xdr:nvPicPr>
        <xdr:cNvPr id="3" name="3 Imagen" descr="SIG.jpg"/>
        <xdr:cNvPicPr preferRelativeResize="1">
          <a:picLocks noChangeAspect="1"/>
        </xdr:cNvPicPr>
      </xdr:nvPicPr>
      <xdr:blipFill>
        <a:blip r:embed="rId1"/>
        <a:stretch>
          <a:fillRect/>
        </a:stretch>
      </xdr:blipFill>
      <xdr:spPr>
        <a:xfrm>
          <a:off x="30394275" y="295275"/>
          <a:ext cx="876300" cy="1028700"/>
        </a:xfrm>
        <a:prstGeom prst="rect">
          <a:avLst/>
        </a:prstGeom>
        <a:noFill/>
        <a:ln w="9525" cmpd="sng">
          <a:noFill/>
        </a:ln>
      </xdr:spPr>
    </xdr:pic>
    <xdr:clientData/>
  </xdr:twoCellAnchor>
  <xdr:twoCellAnchor editAs="oneCell">
    <xdr:from>
      <xdr:col>22</xdr:col>
      <xdr:colOff>1047750</xdr:colOff>
      <xdr:row>2</xdr:row>
      <xdr:rowOff>19050</xdr:rowOff>
    </xdr:from>
    <xdr:to>
      <xdr:col>22</xdr:col>
      <xdr:colOff>2076450</xdr:colOff>
      <xdr:row>7</xdr:row>
      <xdr:rowOff>95250</xdr:rowOff>
    </xdr:to>
    <xdr:pic>
      <xdr:nvPicPr>
        <xdr:cNvPr id="4" name="6 Imagen" descr="Escudo Bogotá_sds_color.jpg"/>
        <xdr:cNvPicPr preferRelativeResize="1">
          <a:picLocks noChangeAspect="1"/>
        </xdr:cNvPicPr>
      </xdr:nvPicPr>
      <xdr:blipFill>
        <a:blip r:embed="rId2"/>
        <a:stretch>
          <a:fillRect/>
        </a:stretch>
      </xdr:blipFill>
      <xdr:spPr>
        <a:xfrm>
          <a:off x="7448550" y="381000"/>
          <a:ext cx="1028700" cy="981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3</xdr:row>
      <xdr:rowOff>76200</xdr:rowOff>
    </xdr:from>
    <xdr:to>
      <xdr:col>14</xdr:col>
      <xdr:colOff>238125</xdr:colOff>
      <xdr:row>6</xdr:row>
      <xdr:rowOff>57150</xdr:rowOff>
    </xdr:to>
    <xdr:pic>
      <xdr:nvPicPr>
        <xdr:cNvPr id="1" name="3 Imagen" descr="SIG.jpg"/>
        <xdr:cNvPicPr preferRelativeResize="1">
          <a:picLocks noChangeAspect="1"/>
        </xdr:cNvPicPr>
      </xdr:nvPicPr>
      <xdr:blipFill>
        <a:blip r:embed="rId1"/>
        <a:stretch>
          <a:fillRect/>
        </a:stretch>
      </xdr:blipFill>
      <xdr:spPr>
        <a:xfrm>
          <a:off x="9182100" y="876300"/>
          <a:ext cx="1000125" cy="781050"/>
        </a:xfrm>
        <a:prstGeom prst="rect">
          <a:avLst/>
        </a:prstGeom>
        <a:noFill/>
        <a:ln w="9525" cmpd="sng">
          <a:noFill/>
        </a:ln>
      </xdr:spPr>
    </xdr:pic>
    <xdr:clientData/>
  </xdr:twoCellAnchor>
  <xdr:twoCellAnchor editAs="oneCell">
    <xdr:from>
      <xdr:col>0</xdr:col>
      <xdr:colOff>428625</xdr:colOff>
      <xdr:row>1</xdr:row>
      <xdr:rowOff>38100</xdr:rowOff>
    </xdr:from>
    <xdr:to>
      <xdr:col>3</xdr:col>
      <xdr:colOff>371475</xdr:colOff>
      <xdr:row>4</xdr:row>
      <xdr:rowOff>190500</xdr:rowOff>
    </xdr:to>
    <xdr:pic>
      <xdr:nvPicPr>
        <xdr:cNvPr id="2" name="10 Imagen" descr="Escudo Bogotá_sds_color.jpg"/>
        <xdr:cNvPicPr preferRelativeResize="1">
          <a:picLocks noChangeAspect="1"/>
        </xdr:cNvPicPr>
      </xdr:nvPicPr>
      <xdr:blipFill>
        <a:blip r:embed="rId2"/>
        <a:stretch>
          <a:fillRect/>
        </a:stretch>
      </xdr:blipFill>
      <xdr:spPr>
        <a:xfrm>
          <a:off x="0" y="304800"/>
          <a:ext cx="809625" cy="952500"/>
        </a:xfrm>
        <a:prstGeom prst="rect">
          <a:avLst/>
        </a:prstGeom>
        <a:noFill/>
        <a:ln w="9525" cmpd="sng">
          <a:noFill/>
        </a:ln>
      </xdr:spPr>
    </xdr:pic>
    <xdr:clientData/>
  </xdr:twoCellAnchor>
  <xdr:twoCellAnchor editAs="oneCell">
    <xdr:from>
      <xdr:col>48</xdr:col>
      <xdr:colOff>762000</xdr:colOff>
      <xdr:row>1</xdr:row>
      <xdr:rowOff>9525</xdr:rowOff>
    </xdr:from>
    <xdr:to>
      <xdr:col>48</xdr:col>
      <xdr:colOff>0</xdr:colOff>
      <xdr:row>4</xdr:row>
      <xdr:rowOff>247650</xdr:rowOff>
    </xdr:to>
    <xdr:pic>
      <xdr:nvPicPr>
        <xdr:cNvPr id="3" name="3 Imagen" descr="SIG.jpg"/>
        <xdr:cNvPicPr preferRelativeResize="1">
          <a:picLocks noChangeAspect="1"/>
        </xdr:cNvPicPr>
      </xdr:nvPicPr>
      <xdr:blipFill>
        <a:blip r:embed="rId1"/>
        <a:stretch>
          <a:fillRect/>
        </a:stretch>
      </xdr:blipFill>
      <xdr:spPr>
        <a:xfrm>
          <a:off x="38233350" y="276225"/>
          <a:ext cx="0" cy="1038225"/>
        </a:xfrm>
        <a:prstGeom prst="rect">
          <a:avLst/>
        </a:prstGeom>
        <a:noFill/>
        <a:ln w="9525" cmpd="sng">
          <a:noFill/>
        </a:ln>
      </xdr:spPr>
    </xdr:pic>
    <xdr:clientData/>
  </xdr:twoCellAnchor>
  <xdr:twoCellAnchor editAs="oneCell">
    <xdr:from>
      <xdr:col>15</xdr:col>
      <xdr:colOff>495300</xdr:colOff>
      <xdr:row>1</xdr:row>
      <xdr:rowOff>180975</xdr:rowOff>
    </xdr:from>
    <xdr:to>
      <xdr:col>16</xdr:col>
      <xdr:colOff>314325</xdr:colOff>
      <xdr:row>5</xdr:row>
      <xdr:rowOff>114300</xdr:rowOff>
    </xdr:to>
    <xdr:pic>
      <xdr:nvPicPr>
        <xdr:cNvPr id="4" name="12 Imagen" descr="Escudo Bogotá_sds_color.jpg"/>
        <xdr:cNvPicPr preferRelativeResize="1">
          <a:picLocks noChangeAspect="1"/>
        </xdr:cNvPicPr>
      </xdr:nvPicPr>
      <xdr:blipFill>
        <a:blip r:embed="rId2"/>
        <a:stretch>
          <a:fillRect/>
        </a:stretch>
      </xdr:blipFill>
      <xdr:spPr>
        <a:xfrm>
          <a:off x="11706225" y="447675"/>
          <a:ext cx="923925" cy="1000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JUNIO%202015\Seguimiento%20886%20junio%202015%20OK..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11.%20Direccion%20Planeacion%20y%20Sistemas\SEGUIMIENTO%20PROYECTOS%202015\SEGUIMIENTO%20ABRIL%202015\Seguimiento%20886%20abril%202015%20O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2">
        <row r="14">
          <cell r="N14">
            <v>524017000</v>
          </cell>
          <cell r="O14">
            <v>534902500</v>
          </cell>
          <cell r="P14">
            <v>55848000</v>
          </cell>
          <cell r="Q14">
            <v>9928533</v>
          </cell>
          <cell r="R14">
            <v>27322533</v>
          </cell>
          <cell r="S14">
            <v>27322533</v>
          </cell>
        </row>
        <row r="30">
          <cell r="N30">
            <v>870480000</v>
          </cell>
          <cell r="O30">
            <v>826160000</v>
          </cell>
          <cell r="P30">
            <v>336609120</v>
          </cell>
          <cell r="Q30">
            <v>29204400</v>
          </cell>
          <cell r="R30">
            <v>161776134</v>
          </cell>
          <cell r="S30">
            <v>150908367</v>
          </cell>
        </row>
        <row r="46">
          <cell r="N46">
            <v>2548412860</v>
          </cell>
          <cell r="O46">
            <v>3035880800</v>
          </cell>
          <cell r="P46">
            <v>2423171720</v>
          </cell>
          <cell r="Q46">
            <v>355042905</v>
          </cell>
          <cell r="R46">
            <v>236973479</v>
          </cell>
          <cell r="S46">
            <v>195795419</v>
          </cell>
        </row>
        <row r="62">
          <cell r="N62">
            <v>3228600140</v>
          </cell>
          <cell r="O62">
            <v>2790160700</v>
          </cell>
          <cell r="P62">
            <v>2511891080</v>
          </cell>
          <cell r="Q62">
            <v>482674800</v>
          </cell>
          <cell r="R62">
            <v>720915224</v>
          </cell>
          <cell r="S62">
            <v>611808442</v>
          </cell>
        </row>
        <row r="78">
          <cell r="N78">
            <v>0</v>
          </cell>
          <cell r="O78">
            <v>0</v>
          </cell>
          <cell r="P78">
            <v>0</v>
          </cell>
          <cell r="Q78">
            <v>0</v>
          </cell>
          <cell r="R78">
            <v>3555200</v>
          </cell>
          <cell r="S78">
            <v>3555200</v>
          </cell>
        </row>
        <row r="94">
          <cell r="N94">
            <v>274847000</v>
          </cell>
          <cell r="O94">
            <v>245368000</v>
          </cell>
          <cell r="P94">
            <v>245368000</v>
          </cell>
          <cell r="Q94">
            <v>30553933</v>
          </cell>
          <cell r="R94">
            <v>34710467</v>
          </cell>
          <cell r="S94">
            <v>34710467</v>
          </cell>
        </row>
        <row r="110">
          <cell r="N110">
            <v>448463000</v>
          </cell>
          <cell r="O110">
            <v>462348000</v>
          </cell>
          <cell r="P110">
            <v>275170000</v>
          </cell>
          <cell r="Q110">
            <v>42120166</v>
          </cell>
          <cell r="R110">
            <v>62680400</v>
          </cell>
          <cell r="S110">
            <v>55305500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etas"/>
      <sheetName val="Actividades"/>
      <sheetName val="99-METROPOLITANO"/>
    </sheetNames>
    <sheetDataSet>
      <sheetData sheetId="1">
        <row r="34">
          <cell r="O34">
            <v>280000320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1">
    <tabColor rgb="FFFFC000"/>
  </sheetPr>
  <dimension ref="A1:BB404"/>
  <sheetViews>
    <sheetView showGridLines="0" zoomScalePageLayoutView="0" workbookViewId="0" topLeftCell="H10">
      <selection activeCell="D41" sqref="D41"/>
    </sheetView>
  </sheetViews>
  <sheetFormatPr defaultColWidth="11.421875" defaultRowHeight="14.25" customHeight="1"/>
  <cols>
    <col min="1" max="1" width="5.421875" style="6" hidden="1" customWidth="1"/>
    <col min="2" max="2" width="6.57421875" style="6" hidden="1" customWidth="1"/>
    <col min="3" max="3" width="7.00390625" style="6" hidden="1" customWidth="1"/>
    <col min="4" max="4" width="6.00390625" style="6" hidden="1" customWidth="1"/>
    <col min="5" max="5" width="6.8515625" style="6" hidden="1" customWidth="1"/>
    <col min="6" max="6" width="6.140625" style="6" hidden="1" customWidth="1"/>
    <col min="7" max="7" width="7.00390625" style="6" hidden="1" customWidth="1"/>
    <col min="8" max="8" width="9.28125" style="7" customWidth="1"/>
    <col min="9" max="9" width="40.7109375" style="7" customWidth="1"/>
    <col min="10" max="10" width="3.57421875" style="7" customWidth="1"/>
    <col min="11" max="11" width="2.7109375" style="7" customWidth="1"/>
    <col min="12" max="12" width="2.28125" style="7" customWidth="1"/>
    <col min="13" max="13" width="4.00390625" style="7" customWidth="1"/>
    <col min="14" max="14" width="17.140625" style="7" customWidth="1"/>
    <col min="15" max="15" width="8.8515625" style="7" customWidth="1"/>
    <col min="16" max="16" width="7.421875" style="7" customWidth="1"/>
    <col min="17" max="17" width="18.421875" style="6" hidden="1" customWidth="1"/>
    <col min="18" max="18" width="16.7109375" style="6" hidden="1" customWidth="1"/>
    <col min="19" max="19" width="18.7109375" style="6" hidden="1" customWidth="1"/>
    <col min="20" max="20" width="19.7109375" style="6" hidden="1" customWidth="1"/>
    <col min="21" max="22" width="16.8515625" style="6" hidden="1" customWidth="1"/>
    <col min="23" max="23" width="32.57421875" style="6" customWidth="1"/>
    <col min="24" max="24" width="29.421875" style="6" customWidth="1"/>
    <col min="25" max="26" width="35.00390625" style="6" customWidth="1"/>
    <col min="27" max="27" width="50.7109375" style="6" customWidth="1"/>
    <col min="28" max="28" width="35.28125" style="6" customWidth="1"/>
    <col min="29" max="44" width="10.7109375" style="6" customWidth="1"/>
    <col min="45" max="48" width="11.421875" style="6" customWidth="1"/>
    <col min="49" max="50" width="14.8515625" style="6" customWidth="1"/>
    <col min="51" max="51" width="14.421875" style="6" customWidth="1"/>
    <col min="52" max="52" width="18.00390625" style="6" customWidth="1"/>
    <col min="53" max="54" width="14.00390625" style="6" customWidth="1"/>
    <col min="55" max="57" width="11.421875" style="6" customWidth="1"/>
    <col min="58" max="75" width="11.421875" style="7" customWidth="1"/>
    <col min="76" max="16384" width="11.421875" style="6" customWidth="1"/>
  </cols>
  <sheetData>
    <row r="1" spans="1:44" s="176" customFormat="1" ht="14.25" customHeight="1">
      <c r="A1" s="160"/>
      <c r="B1" s="161"/>
      <c r="C1" s="161"/>
      <c r="D1" s="162"/>
      <c r="E1" s="163" t="s">
        <v>111</v>
      </c>
      <c r="F1" s="164"/>
      <c r="G1" s="164"/>
      <c r="H1" s="164"/>
      <c r="I1" s="164"/>
      <c r="J1" s="164"/>
      <c r="K1" s="164"/>
      <c r="L1" s="164"/>
      <c r="M1" s="164"/>
      <c r="N1" s="165"/>
      <c r="O1" s="166" t="s">
        <v>112</v>
      </c>
      <c r="P1" s="167"/>
      <c r="Q1" s="167"/>
      <c r="R1" s="168"/>
      <c r="S1" s="169"/>
      <c r="T1" s="170"/>
      <c r="U1" s="170"/>
      <c r="V1" s="171"/>
      <c r="W1" s="169"/>
      <c r="X1" s="170"/>
      <c r="Y1" s="172"/>
      <c r="Z1" s="173" t="s">
        <v>113</v>
      </c>
      <c r="AA1" s="174"/>
      <c r="AB1" s="174"/>
      <c r="AC1" s="174"/>
      <c r="AD1" s="174"/>
      <c r="AE1" s="174"/>
      <c r="AF1" s="174"/>
      <c r="AG1" s="174"/>
      <c r="AH1" s="174"/>
      <c r="AI1" s="174"/>
      <c r="AJ1" s="175"/>
      <c r="AK1" s="166" t="s">
        <v>112</v>
      </c>
      <c r="AL1" s="167"/>
      <c r="AM1" s="167"/>
      <c r="AN1" s="168"/>
      <c r="AO1" s="169"/>
      <c r="AP1" s="170"/>
      <c r="AQ1" s="170"/>
      <c r="AR1" s="171"/>
    </row>
    <row r="2" spans="1:44" s="176" customFormat="1" ht="14.25" customHeight="1">
      <c r="A2" s="177"/>
      <c r="B2" s="178"/>
      <c r="C2" s="178"/>
      <c r="D2" s="179"/>
      <c r="E2" s="180"/>
      <c r="F2" s="181"/>
      <c r="G2" s="181"/>
      <c r="H2" s="181"/>
      <c r="I2" s="181"/>
      <c r="J2" s="181"/>
      <c r="K2" s="181"/>
      <c r="L2" s="181"/>
      <c r="M2" s="181"/>
      <c r="N2" s="182"/>
      <c r="O2" s="183"/>
      <c r="P2" s="184"/>
      <c r="Q2" s="184"/>
      <c r="R2" s="185"/>
      <c r="S2" s="186"/>
      <c r="T2" s="187"/>
      <c r="U2" s="187"/>
      <c r="V2" s="188"/>
      <c r="W2" s="186"/>
      <c r="X2" s="187"/>
      <c r="Y2" s="189"/>
      <c r="Z2" s="190"/>
      <c r="AA2" s="191"/>
      <c r="AB2" s="191"/>
      <c r="AC2" s="191"/>
      <c r="AD2" s="191"/>
      <c r="AE2" s="191"/>
      <c r="AF2" s="191"/>
      <c r="AG2" s="191"/>
      <c r="AH2" s="191"/>
      <c r="AI2" s="191"/>
      <c r="AJ2" s="192"/>
      <c r="AK2" s="183"/>
      <c r="AL2" s="184"/>
      <c r="AM2" s="184"/>
      <c r="AN2" s="185"/>
      <c r="AO2" s="186"/>
      <c r="AP2" s="187"/>
      <c r="AQ2" s="187"/>
      <c r="AR2" s="188"/>
    </row>
    <row r="3" spans="1:44" s="176" customFormat="1" ht="14.25" customHeight="1">
      <c r="A3" s="177"/>
      <c r="B3" s="178"/>
      <c r="C3" s="178"/>
      <c r="D3" s="179"/>
      <c r="E3" s="180"/>
      <c r="F3" s="181"/>
      <c r="G3" s="181"/>
      <c r="H3" s="181"/>
      <c r="I3" s="181"/>
      <c r="J3" s="181"/>
      <c r="K3" s="181"/>
      <c r="L3" s="181"/>
      <c r="M3" s="181"/>
      <c r="N3" s="182"/>
      <c r="O3" s="183"/>
      <c r="P3" s="184"/>
      <c r="Q3" s="184"/>
      <c r="R3" s="185"/>
      <c r="S3" s="186"/>
      <c r="T3" s="187"/>
      <c r="U3" s="187"/>
      <c r="V3" s="188"/>
      <c r="W3" s="186"/>
      <c r="X3" s="187"/>
      <c r="Y3" s="189"/>
      <c r="Z3" s="190"/>
      <c r="AA3" s="191"/>
      <c r="AB3" s="191"/>
      <c r="AC3" s="191"/>
      <c r="AD3" s="191"/>
      <c r="AE3" s="191"/>
      <c r="AF3" s="191"/>
      <c r="AG3" s="191"/>
      <c r="AH3" s="191"/>
      <c r="AI3" s="191"/>
      <c r="AJ3" s="192"/>
      <c r="AK3" s="183"/>
      <c r="AL3" s="184"/>
      <c r="AM3" s="184"/>
      <c r="AN3" s="185"/>
      <c r="AO3" s="186"/>
      <c r="AP3" s="187"/>
      <c r="AQ3" s="187"/>
      <c r="AR3" s="188"/>
    </row>
    <row r="4" spans="1:44" s="176" customFormat="1" ht="14.25" customHeight="1">
      <c r="A4" s="177"/>
      <c r="B4" s="178"/>
      <c r="C4" s="178"/>
      <c r="D4" s="179"/>
      <c r="E4" s="180"/>
      <c r="F4" s="181"/>
      <c r="G4" s="181"/>
      <c r="H4" s="181"/>
      <c r="I4" s="181"/>
      <c r="J4" s="181"/>
      <c r="K4" s="181"/>
      <c r="L4" s="181"/>
      <c r="M4" s="181"/>
      <c r="N4" s="182"/>
      <c r="O4" s="183"/>
      <c r="P4" s="184"/>
      <c r="Q4" s="184"/>
      <c r="R4" s="185"/>
      <c r="S4" s="186"/>
      <c r="T4" s="187"/>
      <c r="U4" s="187"/>
      <c r="V4" s="188"/>
      <c r="W4" s="186"/>
      <c r="X4" s="187"/>
      <c r="Y4" s="189"/>
      <c r="Z4" s="190"/>
      <c r="AA4" s="191"/>
      <c r="AB4" s="191"/>
      <c r="AC4" s="191"/>
      <c r="AD4" s="191"/>
      <c r="AE4" s="191"/>
      <c r="AF4" s="191"/>
      <c r="AG4" s="191"/>
      <c r="AH4" s="191"/>
      <c r="AI4" s="191"/>
      <c r="AJ4" s="192"/>
      <c r="AK4" s="183"/>
      <c r="AL4" s="184"/>
      <c r="AM4" s="184"/>
      <c r="AN4" s="185"/>
      <c r="AO4" s="186"/>
      <c r="AP4" s="187"/>
      <c r="AQ4" s="187"/>
      <c r="AR4" s="188"/>
    </row>
    <row r="5" spans="1:44" s="176" customFormat="1" ht="14.25" customHeight="1">
      <c r="A5" s="177"/>
      <c r="B5" s="178"/>
      <c r="C5" s="178"/>
      <c r="D5" s="179"/>
      <c r="E5" s="180"/>
      <c r="F5" s="181"/>
      <c r="G5" s="181"/>
      <c r="H5" s="181"/>
      <c r="I5" s="181"/>
      <c r="J5" s="181"/>
      <c r="K5" s="181"/>
      <c r="L5" s="181"/>
      <c r="M5" s="181"/>
      <c r="N5" s="182"/>
      <c r="O5" s="183"/>
      <c r="P5" s="184"/>
      <c r="Q5" s="184"/>
      <c r="R5" s="185"/>
      <c r="S5" s="186"/>
      <c r="T5" s="187"/>
      <c r="U5" s="187"/>
      <c r="V5" s="188"/>
      <c r="W5" s="186"/>
      <c r="X5" s="187"/>
      <c r="Y5" s="189"/>
      <c r="Z5" s="190"/>
      <c r="AA5" s="191"/>
      <c r="AB5" s="191"/>
      <c r="AC5" s="191"/>
      <c r="AD5" s="191"/>
      <c r="AE5" s="191"/>
      <c r="AF5" s="191"/>
      <c r="AG5" s="191"/>
      <c r="AH5" s="191"/>
      <c r="AI5" s="191"/>
      <c r="AJ5" s="192"/>
      <c r="AK5" s="183"/>
      <c r="AL5" s="184"/>
      <c r="AM5" s="184"/>
      <c r="AN5" s="185"/>
      <c r="AO5" s="186"/>
      <c r="AP5" s="187"/>
      <c r="AQ5" s="187"/>
      <c r="AR5" s="188"/>
    </row>
    <row r="6" spans="1:44" s="176" customFormat="1" ht="14.25" customHeight="1">
      <c r="A6" s="177"/>
      <c r="B6" s="178"/>
      <c r="C6" s="178"/>
      <c r="D6" s="179"/>
      <c r="E6" s="180"/>
      <c r="F6" s="181"/>
      <c r="G6" s="181"/>
      <c r="H6" s="181"/>
      <c r="I6" s="181"/>
      <c r="J6" s="181"/>
      <c r="K6" s="181"/>
      <c r="L6" s="181"/>
      <c r="M6" s="181"/>
      <c r="N6" s="182"/>
      <c r="O6" s="183"/>
      <c r="P6" s="184"/>
      <c r="Q6" s="184"/>
      <c r="R6" s="185"/>
      <c r="S6" s="186"/>
      <c r="T6" s="187"/>
      <c r="U6" s="187"/>
      <c r="V6" s="188"/>
      <c r="W6" s="186"/>
      <c r="X6" s="187"/>
      <c r="Y6" s="189"/>
      <c r="Z6" s="190"/>
      <c r="AA6" s="191"/>
      <c r="AB6" s="191"/>
      <c r="AC6" s="191"/>
      <c r="AD6" s="191"/>
      <c r="AE6" s="191"/>
      <c r="AF6" s="191"/>
      <c r="AG6" s="191"/>
      <c r="AH6" s="191"/>
      <c r="AI6" s="191"/>
      <c r="AJ6" s="192"/>
      <c r="AK6" s="183"/>
      <c r="AL6" s="184"/>
      <c r="AM6" s="184"/>
      <c r="AN6" s="185"/>
      <c r="AO6" s="186"/>
      <c r="AP6" s="187"/>
      <c r="AQ6" s="187"/>
      <c r="AR6" s="188"/>
    </row>
    <row r="7" spans="1:44" s="176" customFormat="1" ht="14.25" customHeight="1">
      <c r="A7" s="177"/>
      <c r="B7" s="178"/>
      <c r="C7" s="178"/>
      <c r="D7" s="179"/>
      <c r="E7" s="180"/>
      <c r="F7" s="181"/>
      <c r="G7" s="181"/>
      <c r="H7" s="181"/>
      <c r="I7" s="181"/>
      <c r="J7" s="181"/>
      <c r="K7" s="181"/>
      <c r="L7" s="181"/>
      <c r="M7" s="181"/>
      <c r="N7" s="182"/>
      <c r="O7" s="183"/>
      <c r="P7" s="184"/>
      <c r="Q7" s="184"/>
      <c r="R7" s="185"/>
      <c r="S7" s="186"/>
      <c r="T7" s="187"/>
      <c r="U7" s="187"/>
      <c r="V7" s="188"/>
      <c r="W7" s="186"/>
      <c r="X7" s="187"/>
      <c r="Y7" s="189"/>
      <c r="Z7" s="190"/>
      <c r="AA7" s="191"/>
      <c r="AB7" s="191"/>
      <c r="AC7" s="191"/>
      <c r="AD7" s="191"/>
      <c r="AE7" s="191"/>
      <c r="AF7" s="191"/>
      <c r="AG7" s="191"/>
      <c r="AH7" s="191"/>
      <c r="AI7" s="191"/>
      <c r="AJ7" s="192"/>
      <c r="AK7" s="183"/>
      <c r="AL7" s="184"/>
      <c r="AM7" s="184"/>
      <c r="AN7" s="185"/>
      <c r="AO7" s="186"/>
      <c r="AP7" s="187"/>
      <c r="AQ7" s="187"/>
      <c r="AR7" s="188"/>
    </row>
    <row r="8" spans="1:44" s="176" customFormat="1" ht="14.25" customHeight="1" thickBot="1">
      <c r="A8" s="193"/>
      <c r="B8" s="194"/>
      <c r="C8" s="194"/>
      <c r="D8" s="195"/>
      <c r="E8" s="196"/>
      <c r="F8" s="197"/>
      <c r="G8" s="197"/>
      <c r="H8" s="197"/>
      <c r="I8" s="197"/>
      <c r="J8" s="197"/>
      <c r="K8" s="197"/>
      <c r="L8" s="197"/>
      <c r="M8" s="197"/>
      <c r="N8" s="198"/>
      <c r="O8" s="199"/>
      <c r="P8" s="200"/>
      <c r="Q8" s="200"/>
      <c r="R8" s="201"/>
      <c r="S8" s="202"/>
      <c r="T8" s="203"/>
      <c r="U8" s="203"/>
      <c r="V8" s="204"/>
      <c r="W8" s="202"/>
      <c r="X8" s="203"/>
      <c r="Y8" s="205"/>
      <c r="Z8" s="206"/>
      <c r="AA8" s="207"/>
      <c r="AB8" s="207"/>
      <c r="AC8" s="207"/>
      <c r="AD8" s="207"/>
      <c r="AE8" s="207"/>
      <c r="AF8" s="207"/>
      <c r="AG8" s="207"/>
      <c r="AH8" s="207"/>
      <c r="AI8" s="207"/>
      <c r="AJ8" s="208"/>
      <c r="AK8" s="199"/>
      <c r="AL8" s="200"/>
      <c r="AM8" s="200"/>
      <c r="AN8" s="201"/>
      <c r="AO8" s="202"/>
      <c r="AP8" s="203"/>
      <c r="AQ8" s="203"/>
      <c r="AR8" s="204"/>
    </row>
    <row r="10" spans="9:10" ht="14.25" customHeight="1">
      <c r="I10" s="209" t="s">
        <v>114</v>
      </c>
      <c r="J10" s="209"/>
    </row>
    <row r="11" spans="9:10" ht="14.25" customHeight="1">
      <c r="I11" s="209" t="s">
        <v>115</v>
      </c>
      <c r="J11" s="209"/>
    </row>
    <row r="12" spans="9:10" ht="14.25" customHeight="1">
      <c r="I12" s="209" t="s">
        <v>116</v>
      </c>
      <c r="J12" s="209"/>
    </row>
    <row r="13" spans="9:10" ht="14.25" customHeight="1">
      <c r="I13" s="209" t="s">
        <v>117</v>
      </c>
      <c r="J13" s="209"/>
    </row>
    <row r="14" spans="7:54" ht="14.25" customHeight="1">
      <c r="G14" s="210" t="s">
        <v>118</v>
      </c>
      <c r="H14" s="211" t="s">
        <v>119</v>
      </c>
      <c r="I14" s="211" t="s">
        <v>23</v>
      </c>
      <c r="J14" s="158" t="s">
        <v>19</v>
      </c>
      <c r="K14" s="152"/>
      <c r="L14" s="153"/>
      <c r="M14" s="117"/>
      <c r="N14" s="117"/>
      <c r="O14" s="148" t="s">
        <v>0</v>
      </c>
      <c r="P14" s="148"/>
      <c r="Q14" s="148" t="s">
        <v>120</v>
      </c>
      <c r="R14" s="148"/>
      <c r="S14" s="148" t="s">
        <v>4</v>
      </c>
      <c r="T14" s="148"/>
      <c r="U14" s="148" t="s">
        <v>5</v>
      </c>
      <c r="V14" s="148"/>
      <c r="W14" s="132" t="s">
        <v>12</v>
      </c>
      <c r="X14" s="132" t="s">
        <v>13</v>
      </c>
      <c r="Y14" s="132" t="s">
        <v>14</v>
      </c>
      <c r="Z14" s="132" t="s">
        <v>121</v>
      </c>
      <c r="AA14" s="132" t="s">
        <v>11</v>
      </c>
      <c r="AB14" s="132" t="s">
        <v>122</v>
      </c>
      <c r="AC14" s="132" t="s">
        <v>123</v>
      </c>
      <c r="AD14" s="132"/>
      <c r="AE14" s="132" t="s">
        <v>124</v>
      </c>
      <c r="AF14" s="132"/>
      <c r="AG14" s="132" t="s">
        <v>125</v>
      </c>
      <c r="AH14" s="132"/>
      <c r="AI14" s="132" t="s">
        <v>126</v>
      </c>
      <c r="AJ14" s="132"/>
      <c r="AK14" s="132" t="s">
        <v>127</v>
      </c>
      <c r="AL14" s="132"/>
      <c r="AM14" s="132" t="s">
        <v>128</v>
      </c>
      <c r="AN14" s="132"/>
      <c r="AO14" s="132" t="s">
        <v>129</v>
      </c>
      <c r="AP14" s="132"/>
      <c r="AQ14" s="132" t="s">
        <v>130</v>
      </c>
      <c r="AR14" s="132"/>
      <c r="AW14" s="131" t="s">
        <v>120</v>
      </c>
      <c r="AX14" s="131"/>
      <c r="AY14" s="131" t="s">
        <v>4</v>
      </c>
      <c r="AZ14" s="131"/>
      <c r="BA14" s="131" t="s">
        <v>5</v>
      </c>
      <c r="BB14" s="131"/>
    </row>
    <row r="15" spans="1:54" ht="46.5" customHeight="1">
      <c r="A15" s="1" t="s">
        <v>131</v>
      </c>
      <c r="B15" s="1" t="s">
        <v>119</v>
      </c>
      <c r="C15" s="1" t="s">
        <v>132</v>
      </c>
      <c r="D15" s="1" t="s">
        <v>133</v>
      </c>
      <c r="E15" s="1" t="s">
        <v>134</v>
      </c>
      <c r="F15" s="1" t="s">
        <v>135</v>
      </c>
      <c r="G15" s="212"/>
      <c r="H15" s="211"/>
      <c r="I15" s="211"/>
      <c r="J15" s="5" t="s">
        <v>16</v>
      </c>
      <c r="K15" s="5" t="s">
        <v>17</v>
      </c>
      <c r="L15" s="5" t="s">
        <v>18</v>
      </c>
      <c r="M15" s="5" t="s">
        <v>20</v>
      </c>
      <c r="N15" s="5" t="s">
        <v>21</v>
      </c>
      <c r="O15" s="4" t="s">
        <v>59</v>
      </c>
      <c r="P15" s="4" t="s">
        <v>136</v>
      </c>
      <c r="Q15" s="4" t="s">
        <v>6</v>
      </c>
      <c r="R15" s="4" t="s">
        <v>7</v>
      </c>
      <c r="S15" s="4" t="s">
        <v>8</v>
      </c>
      <c r="T15" s="4" t="s">
        <v>9</v>
      </c>
      <c r="U15" s="4" t="s">
        <v>1</v>
      </c>
      <c r="V15" s="4" t="s">
        <v>9</v>
      </c>
      <c r="W15" s="132"/>
      <c r="X15" s="132"/>
      <c r="Y15" s="132"/>
      <c r="Z15" s="132"/>
      <c r="AA15" s="132"/>
      <c r="AB15" s="132"/>
      <c r="AC15" s="4" t="s">
        <v>137</v>
      </c>
      <c r="AD15" s="4" t="s">
        <v>138</v>
      </c>
      <c r="AE15" s="4" t="s">
        <v>137</v>
      </c>
      <c r="AF15" s="4" t="s">
        <v>138</v>
      </c>
      <c r="AG15" s="4" t="s">
        <v>137</v>
      </c>
      <c r="AH15" s="4" t="s">
        <v>138</v>
      </c>
      <c r="AI15" s="4" t="s">
        <v>137</v>
      </c>
      <c r="AJ15" s="4" t="s">
        <v>138</v>
      </c>
      <c r="AK15" s="4" t="s">
        <v>137</v>
      </c>
      <c r="AL15" s="4" t="s">
        <v>138</v>
      </c>
      <c r="AM15" s="4" t="s">
        <v>137</v>
      </c>
      <c r="AN15" s="4" t="s">
        <v>138</v>
      </c>
      <c r="AO15" s="4" t="s">
        <v>137</v>
      </c>
      <c r="AP15" s="4" t="s">
        <v>138</v>
      </c>
      <c r="AQ15" s="4" t="s">
        <v>137</v>
      </c>
      <c r="AR15" s="4" t="s">
        <v>138</v>
      </c>
      <c r="AW15" s="2" t="s">
        <v>6</v>
      </c>
      <c r="AX15" s="2" t="s">
        <v>7</v>
      </c>
      <c r="AY15" s="2" t="s">
        <v>8</v>
      </c>
      <c r="AZ15" s="2" t="s">
        <v>9</v>
      </c>
      <c r="BA15" s="2" t="s">
        <v>1</v>
      </c>
      <c r="BB15" s="2" t="s">
        <v>9</v>
      </c>
    </row>
    <row r="16" spans="1:54" s="230" customFormat="1" ht="36" hidden="1">
      <c r="A16" s="213" t="s">
        <v>139</v>
      </c>
      <c r="B16" s="213" t="s">
        <v>140</v>
      </c>
      <c r="C16" s="213" t="s">
        <v>141</v>
      </c>
      <c r="D16" s="213" t="s">
        <v>142</v>
      </c>
      <c r="E16" s="213" t="s">
        <v>143</v>
      </c>
      <c r="F16" s="213" t="s">
        <v>143</v>
      </c>
      <c r="G16" s="214">
        <v>11</v>
      </c>
      <c r="H16" s="215">
        <v>886</v>
      </c>
      <c r="I16" s="216" t="s">
        <v>144</v>
      </c>
      <c r="J16" s="217"/>
      <c r="K16" s="218" t="s">
        <v>48</v>
      </c>
      <c r="L16" s="218"/>
      <c r="M16" s="219"/>
      <c r="N16" s="216" t="s">
        <v>145</v>
      </c>
      <c r="O16" s="220">
        <v>0.27</v>
      </c>
      <c r="P16" s="220">
        <f>+O16/12*6</f>
        <v>0.135</v>
      </c>
      <c r="Q16" s="221">
        <f>SUMIF('Actividades inversión 886'!$B$13:$B$50,'Metas inversión 886'!$B16,'Actividades inversión 886'!M$13:M$50)</f>
        <v>524017000</v>
      </c>
      <c r="R16" s="221">
        <f>SUMIF('Actividades inversión 886'!$B$13:$B$50,'Metas inversión 886'!$B16,'Actividades inversión 886'!N$13:N$50)</f>
        <v>534902500</v>
      </c>
      <c r="S16" s="221">
        <f>SUMIF('Actividades inversión 886'!$B$13:$B$50,'Metas inversión 886'!$B16,'Actividades inversión 886'!O$13:O$50)</f>
        <v>55848000</v>
      </c>
      <c r="T16" s="221">
        <f>SUMIF('Actividades inversión 886'!$B$13:$B$50,'Metas inversión 886'!$B16,'Actividades inversión 886'!P$13:P$50)</f>
        <v>9928533</v>
      </c>
      <c r="U16" s="221">
        <f>SUMIF('Actividades inversión 886'!$B$13:$B$50,'Metas inversión 886'!$B16,'Actividades inversión 886'!Q$13:Q$50)</f>
        <v>27322533</v>
      </c>
      <c r="V16" s="221">
        <f>SUMIF('Actividades inversión 886'!$B$13:$B$50,'Metas inversión 886'!$B16,'Actividades inversión 886'!R$13:R$50)</f>
        <v>27322533</v>
      </c>
      <c r="W16" s="222" t="s">
        <v>146</v>
      </c>
      <c r="X16" s="223" t="s">
        <v>147</v>
      </c>
      <c r="Y16" s="222" t="s">
        <v>148</v>
      </c>
      <c r="Z16" s="224"/>
      <c r="AA16" s="225"/>
      <c r="AB16" s="226" t="s">
        <v>149</v>
      </c>
      <c r="AC16" s="227"/>
      <c r="AD16" s="227"/>
      <c r="AE16" s="227"/>
      <c r="AF16" s="227"/>
      <c r="AG16" s="227"/>
      <c r="AH16" s="227"/>
      <c r="AI16" s="227"/>
      <c r="AJ16" s="227"/>
      <c r="AK16" s="227"/>
      <c r="AL16" s="227"/>
      <c r="AM16" s="227"/>
      <c r="AN16" s="227"/>
      <c r="AO16" s="227"/>
      <c r="AP16" s="227"/>
      <c r="AQ16" s="228">
        <f aca="true" t="shared" si="0" ref="AQ16:AR21">+AC16+AE16+AG16+AI16+AK16+AM16+AO16</f>
        <v>0</v>
      </c>
      <c r="AR16" s="229">
        <f t="shared" si="0"/>
        <v>0</v>
      </c>
      <c r="AW16" s="231">
        <f>+'[1]99-METROPOLITANO'!N14</f>
        <v>524017000</v>
      </c>
      <c r="AX16" s="231">
        <f>+'[1]99-METROPOLITANO'!O14</f>
        <v>534902500</v>
      </c>
      <c r="AY16" s="231">
        <f>+'[1]99-METROPOLITANO'!P14</f>
        <v>55848000</v>
      </c>
      <c r="AZ16" s="231">
        <f>+'[1]99-METROPOLITANO'!Q14</f>
        <v>9928533</v>
      </c>
      <c r="BA16" s="231">
        <f>+'[1]99-METROPOLITANO'!R14</f>
        <v>27322533</v>
      </c>
      <c r="BB16" s="231">
        <f>+'[1]99-METROPOLITANO'!S14</f>
        <v>27322533</v>
      </c>
    </row>
    <row r="17" spans="1:54" s="230" customFormat="1" ht="15.75" hidden="1">
      <c r="A17" s="213"/>
      <c r="B17" s="213"/>
      <c r="C17" s="213"/>
      <c r="D17" s="213"/>
      <c r="E17" s="213"/>
      <c r="F17" s="213"/>
      <c r="G17" s="214"/>
      <c r="H17" s="232"/>
      <c r="I17" s="233"/>
      <c r="J17" s="234"/>
      <c r="K17" s="234"/>
      <c r="L17" s="234"/>
      <c r="M17" s="235"/>
      <c r="N17" s="233"/>
      <c r="O17" s="236"/>
      <c r="P17" s="236"/>
      <c r="Q17" s="237"/>
      <c r="R17" s="237"/>
      <c r="S17" s="237"/>
      <c r="T17" s="237"/>
      <c r="U17" s="237"/>
      <c r="V17" s="237"/>
      <c r="W17" s="238"/>
      <c r="X17" s="238"/>
      <c r="Y17" s="238"/>
      <c r="Z17" s="239"/>
      <c r="AA17" s="239"/>
      <c r="AB17" s="240" t="s">
        <v>150</v>
      </c>
      <c r="AC17" s="241"/>
      <c r="AD17" s="241"/>
      <c r="AE17" s="241"/>
      <c r="AF17" s="241"/>
      <c r="AG17" s="241"/>
      <c r="AH17" s="241"/>
      <c r="AI17" s="241"/>
      <c r="AJ17" s="241"/>
      <c r="AK17" s="241"/>
      <c r="AL17" s="241"/>
      <c r="AM17" s="241"/>
      <c r="AN17" s="241"/>
      <c r="AO17" s="241"/>
      <c r="AP17" s="241"/>
      <c r="AQ17" s="242">
        <f t="shared" si="0"/>
        <v>0</v>
      </c>
      <c r="AR17" s="243">
        <f t="shared" si="0"/>
        <v>0</v>
      </c>
      <c r="AW17" s="231"/>
      <c r="AX17" s="231"/>
      <c r="AY17" s="231"/>
      <c r="AZ17" s="231"/>
      <c r="BA17" s="231"/>
      <c r="BB17" s="231"/>
    </row>
    <row r="18" spans="1:54" s="230" customFormat="1" ht="15.75" hidden="1">
      <c r="A18" s="213"/>
      <c r="B18" s="213"/>
      <c r="C18" s="213"/>
      <c r="D18" s="213"/>
      <c r="E18" s="213"/>
      <c r="F18" s="213"/>
      <c r="G18" s="214"/>
      <c r="H18" s="232"/>
      <c r="I18" s="233"/>
      <c r="J18" s="234"/>
      <c r="K18" s="234"/>
      <c r="L18" s="234"/>
      <c r="M18" s="235"/>
      <c r="N18" s="233"/>
      <c r="O18" s="236"/>
      <c r="P18" s="236"/>
      <c r="Q18" s="237"/>
      <c r="R18" s="237"/>
      <c r="S18" s="237"/>
      <c r="T18" s="237"/>
      <c r="U18" s="237"/>
      <c r="V18" s="237"/>
      <c r="W18" s="238"/>
      <c r="X18" s="238"/>
      <c r="Y18" s="238"/>
      <c r="Z18" s="239"/>
      <c r="AA18" s="239"/>
      <c r="AB18" s="240" t="s">
        <v>151</v>
      </c>
      <c r="AC18" s="241"/>
      <c r="AD18" s="241"/>
      <c r="AE18" s="241"/>
      <c r="AF18" s="241"/>
      <c r="AG18" s="241"/>
      <c r="AH18" s="241"/>
      <c r="AI18" s="241"/>
      <c r="AJ18" s="241"/>
      <c r="AK18" s="241"/>
      <c r="AL18" s="241"/>
      <c r="AM18" s="241"/>
      <c r="AN18" s="241"/>
      <c r="AO18" s="241"/>
      <c r="AP18" s="241"/>
      <c r="AQ18" s="242">
        <f t="shared" si="0"/>
        <v>0</v>
      </c>
      <c r="AR18" s="243">
        <f t="shared" si="0"/>
        <v>0</v>
      </c>
      <c r="AW18" s="231"/>
      <c r="AX18" s="231"/>
      <c r="AY18" s="231"/>
      <c r="AZ18" s="231"/>
      <c r="BA18" s="231"/>
      <c r="BB18" s="231"/>
    </row>
    <row r="19" spans="1:54" s="230" customFormat="1" ht="15.75" hidden="1">
      <c r="A19" s="213"/>
      <c r="B19" s="213"/>
      <c r="C19" s="213"/>
      <c r="D19" s="213"/>
      <c r="E19" s="213"/>
      <c r="F19" s="213"/>
      <c r="G19" s="214"/>
      <c r="H19" s="232"/>
      <c r="I19" s="233"/>
      <c r="J19" s="234"/>
      <c r="K19" s="234"/>
      <c r="L19" s="234"/>
      <c r="M19" s="235"/>
      <c r="N19" s="233"/>
      <c r="O19" s="236"/>
      <c r="P19" s="236"/>
      <c r="Q19" s="237"/>
      <c r="R19" s="237"/>
      <c r="S19" s="237"/>
      <c r="T19" s="237"/>
      <c r="U19" s="237"/>
      <c r="V19" s="237"/>
      <c r="W19" s="238"/>
      <c r="X19" s="238"/>
      <c r="Y19" s="238"/>
      <c r="Z19" s="239"/>
      <c r="AA19" s="239"/>
      <c r="AB19" s="240" t="s">
        <v>152</v>
      </c>
      <c r="AC19" s="241"/>
      <c r="AD19" s="241"/>
      <c r="AE19" s="241"/>
      <c r="AF19" s="241"/>
      <c r="AG19" s="241"/>
      <c r="AH19" s="241"/>
      <c r="AI19" s="241"/>
      <c r="AJ19" s="241"/>
      <c r="AK19" s="241"/>
      <c r="AL19" s="241"/>
      <c r="AM19" s="241"/>
      <c r="AN19" s="241"/>
      <c r="AO19" s="241"/>
      <c r="AP19" s="241"/>
      <c r="AQ19" s="242">
        <f t="shared" si="0"/>
        <v>0</v>
      </c>
      <c r="AR19" s="243">
        <f t="shared" si="0"/>
        <v>0</v>
      </c>
      <c r="AW19" s="231"/>
      <c r="AX19" s="231"/>
      <c r="AY19" s="231"/>
      <c r="AZ19" s="231"/>
      <c r="BA19" s="231"/>
      <c r="BB19" s="231"/>
    </row>
    <row r="20" spans="1:54" s="230" customFormat="1" ht="15.75" hidden="1">
      <c r="A20" s="213"/>
      <c r="B20" s="213"/>
      <c r="C20" s="213"/>
      <c r="D20" s="213"/>
      <c r="E20" s="213"/>
      <c r="F20" s="213"/>
      <c r="G20" s="214"/>
      <c r="H20" s="232"/>
      <c r="I20" s="233"/>
      <c r="J20" s="234"/>
      <c r="K20" s="234"/>
      <c r="L20" s="234"/>
      <c r="M20" s="235"/>
      <c r="N20" s="233"/>
      <c r="O20" s="236"/>
      <c r="P20" s="236"/>
      <c r="Q20" s="237"/>
      <c r="R20" s="237"/>
      <c r="S20" s="237"/>
      <c r="T20" s="237"/>
      <c r="U20" s="237"/>
      <c r="V20" s="237"/>
      <c r="W20" s="238"/>
      <c r="X20" s="238"/>
      <c r="Y20" s="238"/>
      <c r="Z20" s="239"/>
      <c r="AA20" s="239"/>
      <c r="AB20" s="240" t="s">
        <v>153</v>
      </c>
      <c r="AC20" s="241"/>
      <c r="AD20" s="241"/>
      <c r="AE20" s="241"/>
      <c r="AF20" s="241"/>
      <c r="AG20" s="241"/>
      <c r="AH20" s="241"/>
      <c r="AI20" s="241"/>
      <c r="AJ20" s="241"/>
      <c r="AK20" s="241"/>
      <c r="AL20" s="241"/>
      <c r="AM20" s="241"/>
      <c r="AN20" s="241"/>
      <c r="AO20" s="241"/>
      <c r="AP20" s="241"/>
      <c r="AQ20" s="242">
        <f t="shared" si="0"/>
        <v>0</v>
      </c>
      <c r="AR20" s="243">
        <f t="shared" si="0"/>
        <v>0</v>
      </c>
      <c r="AW20" s="231"/>
      <c r="AX20" s="231"/>
      <c r="AY20" s="231"/>
      <c r="AZ20" s="231"/>
      <c r="BA20" s="231"/>
      <c r="BB20" s="231"/>
    </row>
    <row r="21" spans="1:54" s="7" customFormat="1" ht="12.75" customHeight="1" hidden="1">
      <c r="A21" s="244"/>
      <c r="B21" s="244"/>
      <c r="C21" s="244"/>
      <c r="D21" s="244"/>
      <c r="E21" s="244"/>
      <c r="F21" s="244"/>
      <c r="G21" s="245"/>
      <c r="H21" s="232"/>
      <c r="I21" s="233"/>
      <c r="J21" s="234"/>
      <c r="K21" s="234"/>
      <c r="L21" s="234"/>
      <c r="M21" s="235"/>
      <c r="N21" s="233"/>
      <c r="O21" s="236"/>
      <c r="P21" s="236"/>
      <c r="Q21" s="237"/>
      <c r="R21" s="237"/>
      <c r="S21" s="237"/>
      <c r="T21" s="237"/>
      <c r="U21" s="237"/>
      <c r="V21" s="237"/>
      <c r="W21" s="238"/>
      <c r="X21" s="238"/>
      <c r="Y21" s="238"/>
      <c r="Z21" s="239"/>
      <c r="AA21" s="239"/>
      <c r="AB21" s="246" t="s">
        <v>154</v>
      </c>
      <c r="AC21" s="247"/>
      <c r="AD21" s="247"/>
      <c r="AE21" s="247"/>
      <c r="AF21" s="247"/>
      <c r="AG21" s="247"/>
      <c r="AH21" s="247"/>
      <c r="AI21" s="247"/>
      <c r="AJ21" s="247"/>
      <c r="AK21" s="247"/>
      <c r="AL21" s="247"/>
      <c r="AM21" s="247"/>
      <c r="AN21" s="247"/>
      <c r="AO21" s="247"/>
      <c r="AP21" s="247"/>
      <c r="AQ21" s="248">
        <f t="shared" si="0"/>
        <v>0</v>
      </c>
      <c r="AR21" s="249">
        <f t="shared" si="0"/>
        <v>0</v>
      </c>
      <c r="AW21" s="250"/>
      <c r="AX21" s="250"/>
      <c r="AY21" s="250"/>
      <c r="AZ21" s="250"/>
      <c r="BA21" s="250"/>
      <c r="BB21" s="250"/>
    </row>
    <row r="22" spans="1:54" s="7" customFormat="1" ht="16.5" hidden="1" thickBot="1">
      <c r="A22" s="244"/>
      <c r="B22" s="244"/>
      <c r="C22" s="244"/>
      <c r="D22" s="244"/>
      <c r="E22" s="244"/>
      <c r="F22" s="244"/>
      <c r="G22" s="245"/>
      <c r="H22" s="232"/>
      <c r="I22" s="233"/>
      <c r="J22" s="234"/>
      <c r="K22" s="234"/>
      <c r="L22" s="234"/>
      <c r="M22" s="235"/>
      <c r="N22" s="233"/>
      <c r="O22" s="236"/>
      <c r="P22" s="236"/>
      <c r="Q22" s="237"/>
      <c r="R22" s="237"/>
      <c r="S22" s="237"/>
      <c r="T22" s="237"/>
      <c r="U22" s="237"/>
      <c r="V22" s="237"/>
      <c r="W22" s="238"/>
      <c r="X22" s="238"/>
      <c r="Y22" s="238"/>
      <c r="Z22" s="239"/>
      <c r="AA22" s="239"/>
      <c r="AB22" s="251" t="s">
        <v>155</v>
      </c>
      <c r="AC22" s="252">
        <f aca="true" t="shared" si="1" ref="AC22:AR22">SUM(AC16:AC21)</f>
        <v>0</v>
      </c>
      <c r="AD22" s="252">
        <f t="shared" si="1"/>
        <v>0</v>
      </c>
      <c r="AE22" s="252">
        <f t="shared" si="1"/>
        <v>0</v>
      </c>
      <c r="AF22" s="252">
        <f t="shared" si="1"/>
        <v>0</v>
      </c>
      <c r="AG22" s="252">
        <f t="shared" si="1"/>
        <v>0</v>
      </c>
      <c r="AH22" s="252">
        <f t="shared" si="1"/>
        <v>0</v>
      </c>
      <c r="AI22" s="252">
        <f t="shared" si="1"/>
        <v>0</v>
      </c>
      <c r="AJ22" s="252">
        <f t="shared" si="1"/>
        <v>0</v>
      </c>
      <c r="AK22" s="252">
        <f t="shared" si="1"/>
        <v>0</v>
      </c>
      <c r="AL22" s="252">
        <f t="shared" si="1"/>
        <v>0</v>
      </c>
      <c r="AM22" s="252">
        <f t="shared" si="1"/>
        <v>0</v>
      </c>
      <c r="AN22" s="252">
        <f t="shared" si="1"/>
        <v>0</v>
      </c>
      <c r="AO22" s="252">
        <f t="shared" si="1"/>
        <v>0</v>
      </c>
      <c r="AP22" s="252">
        <f t="shared" si="1"/>
        <v>0</v>
      </c>
      <c r="AQ22" s="252">
        <f t="shared" si="1"/>
        <v>0</v>
      </c>
      <c r="AR22" s="253">
        <f t="shared" si="1"/>
        <v>0</v>
      </c>
      <c r="AW22" s="250"/>
      <c r="AX22" s="250"/>
      <c r="AY22" s="250"/>
      <c r="AZ22" s="250"/>
      <c r="BA22" s="250"/>
      <c r="BB22" s="250"/>
    </row>
    <row r="23" spans="1:54" s="7" customFormat="1" ht="15.75" customHeight="1" hidden="1">
      <c r="A23" s="244"/>
      <c r="B23" s="244"/>
      <c r="C23" s="244"/>
      <c r="D23" s="244"/>
      <c r="E23" s="244"/>
      <c r="F23" s="244"/>
      <c r="G23" s="245"/>
      <c r="H23" s="232"/>
      <c r="I23" s="233"/>
      <c r="J23" s="234"/>
      <c r="K23" s="234"/>
      <c r="L23" s="234"/>
      <c r="M23" s="235"/>
      <c r="N23" s="233"/>
      <c r="O23" s="236"/>
      <c r="P23" s="236"/>
      <c r="Q23" s="237"/>
      <c r="R23" s="237"/>
      <c r="S23" s="237"/>
      <c r="T23" s="237"/>
      <c r="U23" s="237"/>
      <c r="V23" s="237"/>
      <c r="W23" s="238"/>
      <c r="X23" s="238"/>
      <c r="Y23" s="238"/>
      <c r="Z23" s="239"/>
      <c r="AA23" s="239"/>
      <c r="AB23" s="254" t="s">
        <v>156</v>
      </c>
      <c r="AC23" s="247"/>
      <c r="AD23" s="247"/>
      <c r="AE23" s="247"/>
      <c r="AF23" s="247"/>
      <c r="AG23" s="247"/>
      <c r="AH23" s="247"/>
      <c r="AI23" s="247"/>
      <c r="AJ23" s="247"/>
      <c r="AK23" s="247"/>
      <c r="AL23" s="247"/>
      <c r="AM23" s="247"/>
      <c r="AN23" s="247"/>
      <c r="AO23" s="247"/>
      <c r="AP23" s="247"/>
      <c r="AQ23" s="248">
        <f>+AC23+AE23+AG23+AI23+AK23+AM23+AO23</f>
        <v>0</v>
      </c>
      <c r="AR23" s="249">
        <f aca="true" t="shared" si="2" ref="AR23:AR29">+AD23+AF23+AH23+AJ23+AL23+AN23+AP23</f>
        <v>0</v>
      </c>
      <c r="AW23" s="250"/>
      <c r="AX23" s="250"/>
      <c r="AY23" s="250"/>
      <c r="AZ23" s="250"/>
      <c r="BA23" s="250"/>
      <c r="BB23" s="250"/>
    </row>
    <row r="24" spans="1:54" s="7" customFormat="1" ht="15.75" customHeight="1" hidden="1">
      <c r="A24" s="244"/>
      <c r="B24" s="244"/>
      <c r="C24" s="244"/>
      <c r="D24" s="244"/>
      <c r="E24" s="244"/>
      <c r="F24" s="244"/>
      <c r="G24" s="245"/>
      <c r="H24" s="232"/>
      <c r="I24" s="233"/>
      <c r="J24" s="234"/>
      <c r="K24" s="234"/>
      <c r="L24" s="234"/>
      <c r="M24" s="235"/>
      <c r="N24" s="233"/>
      <c r="O24" s="236"/>
      <c r="P24" s="236"/>
      <c r="Q24" s="237"/>
      <c r="R24" s="237"/>
      <c r="S24" s="237"/>
      <c r="T24" s="237"/>
      <c r="U24" s="237"/>
      <c r="V24" s="237"/>
      <c r="W24" s="238"/>
      <c r="X24" s="238"/>
      <c r="Y24" s="238"/>
      <c r="Z24" s="239"/>
      <c r="AA24" s="239"/>
      <c r="AB24" s="254" t="s">
        <v>157</v>
      </c>
      <c r="AC24" s="247"/>
      <c r="AD24" s="247"/>
      <c r="AE24" s="247"/>
      <c r="AF24" s="247"/>
      <c r="AG24" s="247"/>
      <c r="AH24" s="247"/>
      <c r="AI24" s="247"/>
      <c r="AJ24" s="247"/>
      <c r="AK24" s="247"/>
      <c r="AL24" s="247"/>
      <c r="AM24" s="247"/>
      <c r="AN24" s="247"/>
      <c r="AO24" s="247"/>
      <c r="AP24" s="247"/>
      <c r="AQ24" s="248">
        <f aca="true" t="shared" si="3" ref="AQ24:AQ29">+AC24+AE24+AG24+AI24+AK24+AM24+AO24</f>
        <v>0</v>
      </c>
      <c r="AR24" s="249">
        <f t="shared" si="2"/>
        <v>0</v>
      </c>
      <c r="AW24" s="250"/>
      <c r="AX24" s="250"/>
      <c r="AY24" s="250"/>
      <c r="AZ24" s="250"/>
      <c r="BA24" s="250"/>
      <c r="BB24" s="250"/>
    </row>
    <row r="25" spans="1:54" s="7" customFormat="1" ht="15.75" customHeight="1" hidden="1">
      <c r="A25" s="244"/>
      <c r="B25" s="244"/>
      <c r="C25" s="244"/>
      <c r="D25" s="244"/>
      <c r="E25" s="244"/>
      <c r="F25" s="244"/>
      <c r="G25" s="245"/>
      <c r="H25" s="232"/>
      <c r="I25" s="233"/>
      <c r="J25" s="234"/>
      <c r="K25" s="234"/>
      <c r="L25" s="234"/>
      <c r="M25" s="235"/>
      <c r="N25" s="233"/>
      <c r="O25" s="236"/>
      <c r="P25" s="236"/>
      <c r="Q25" s="237"/>
      <c r="R25" s="237"/>
      <c r="S25" s="237"/>
      <c r="T25" s="237"/>
      <c r="U25" s="237"/>
      <c r="V25" s="237"/>
      <c r="W25" s="238"/>
      <c r="X25" s="238"/>
      <c r="Y25" s="238"/>
      <c r="Z25" s="239"/>
      <c r="AA25" s="239"/>
      <c r="AB25" s="246" t="s">
        <v>158</v>
      </c>
      <c r="AC25" s="247"/>
      <c r="AD25" s="247"/>
      <c r="AE25" s="247"/>
      <c r="AF25" s="247"/>
      <c r="AG25" s="247"/>
      <c r="AH25" s="247"/>
      <c r="AI25" s="247"/>
      <c r="AJ25" s="247"/>
      <c r="AK25" s="247"/>
      <c r="AL25" s="247"/>
      <c r="AM25" s="247"/>
      <c r="AN25" s="247"/>
      <c r="AO25" s="247"/>
      <c r="AP25" s="247"/>
      <c r="AQ25" s="248">
        <f t="shared" si="3"/>
        <v>0</v>
      </c>
      <c r="AR25" s="249">
        <f t="shared" si="2"/>
        <v>0</v>
      </c>
      <c r="AW25" s="250"/>
      <c r="AX25" s="250"/>
      <c r="AY25" s="250"/>
      <c r="AZ25" s="250"/>
      <c r="BA25" s="250"/>
      <c r="BB25" s="250"/>
    </row>
    <row r="26" spans="1:54" s="7" customFormat="1" ht="15.75" customHeight="1" hidden="1">
      <c r="A26" s="244"/>
      <c r="B26" s="244"/>
      <c r="C26" s="244"/>
      <c r="D26" s="244"/>
      <c r="E26" s="244"/>
      <c r="F26" s="244"/>
      <c r="G26" s="245"/>
      <c r="H26" s="232"/>
      <c r="I26" s="233"/>
      <c r="J26" s="234"/>
      <c r="K26" s="234"/>
      <c r="L26" s="234"/>
      <c r="M26" s="235"/>
      <c r="N26" s="233"/>
      <c r="O26" s="236"/>
      <c r="P26" s="236"/>
      <c r="Q26" s="237"/>
      <c r="R26" s="237"/>
      <c r="S26" s="237"/>
      <c r="T26" s="237"/>
      <c r="U26" s="237"/>
      <c r="V26" s="237"/>
      <c r="W26" s="238"/>
      <c r="X26" s="238"/>
      <c r="Y26" s="238"/>
      <c r="Z26" s="239"/>
      <c r="AA26" s="239"/>
      <c r="AB26" s="246" t="s">
        <v>159</v>
      </c>
      <c r="AC26" s="247"/>
      <c r="AD26" s="247"/>
      <c r="AE26" s="247"/>
      <c r="AF26" s="247"/>
      <c r="AG26" s="247"/>
      <c r="AH26" s="247"/>
      <c r="AI26" s="247"/>
      <c r="AJ26" s="247"/>
      <c r="AK26" s="247"/>
      <c r="AL26" s="247"/>
      <c r="AM26" s="247"/>
      <c r="AN26" s="247"/>
      <c r="AO26" s="247"/>
      <c r="AP26" s="247"/>
      <c r="AQ26" s="248">
        <f t="shared" si="3"/>
        <v>0</v>
      </c>
      <c r="AR26" s="249">
        <f t="shared" si="2"/>
        <v>0</v>
      </c>
      <c r="AW26" s="250"/>
      <c r="AX26" s="250"/>
      <c r="AY26" s="250"/>
      <c r="AZ26" s="250"/>
      <c r="BA26" s="250"/>
      <c r="BB26" s="250"/>
    </row>
    <row r="27" spans="1:54" s="7" customFormat="1" ht="15.75" customHeight="1" hidden="1">
      <c r="A27" s="244"/>
      <c r="B27" s="244"/>
      <c r="C27" s="244"/>
      <c r="D27" s="244"/>
      <c r="E27" s="244"/>
      <c r="F27" s="244"/>
      <c r="G27" s="245"/>
      <c r="H27" s="232"/>
      <c r="I27" s="233"/>
      <c r="J27" s="234"/>
      <c r="K27" s="234"/>
      <c r="L27" s="234"/>
      <c r="M27" s="235"/>
      <c r="N27" s="233"/>
      <c r="O27" s="236"/>
      <c r="P27" s="236"/>
      <c r="Q27" s="237"/>
      <c r="R27" s="237"/>
      <c r="S27" s="237"/>
      <c r="T27" s="237"/>
      <c r="U27" s="237"/>
      <c r="V27" s="237"/>
      <c r="W27" s="238"/>
      <c r="X27" s="238"/>
      <c r="Y27" s="238"/>
      <c r="Z27" s="239"/>
      <c r="AA27" s="239"/>
      <c r="AB27" s="246" t="s">
        <v>160</v>
      </c>
      <c r="AC27" s="247"/>
      <c r="AD27" s="247"/>
      <c r="AE27" s="247"/>
      <c r="AF27" s="247"/>
      <c r="AG27" s="247"/>
      <c r="AH27" s="247"/>
      <c r="AI27" s="247"/>
      <c r="AJ27" s="247"/>
      <c r="AK27" s="247"/>
      <c r="AL27" s="247"/>
      <c r="AM27" s="247"/>
      <c r="AN27" s="247"/>
      <c r="AO27" s="247"/>
      <c r="AP27" s="247"/>
      <c r="AQ27" s="248">
        <f t="shared" si="3"/>
        <v>0</v>
      </c>
      <c r="AR27" s="249">
        <f t="shared" si="2"/>
        <v>0</v>
      </c>
      <c r="AW27" s="250"/>
      <c r="AX27" s="250"/>
      <c r="AY27" s="250"/>
      <c r="AZ27" s="250"/>
      <c r="BA27" s="250"/>
      <c r="BB27" s="250"/>
    </row>
    <row r="28" spans="1:54" s="7" customFormat="1" ht="15.75" customHeight="1" hidden="1">
      <c r="A28" s="244"/>
      <c r="B28" s="244"/>
      <c r="C28" s="244"/>
      <c r="D28" s="244"/>
      <c r="E28" s="244"/>
      <c r="F28" s="244"/>
      <c r="G28" s="245"/>
      <c r="H28" s="232"/>
      <c r="I28" s="233"/>
      <c r="J28" s="234"/>
      <c r="K28" s="234"/>
      <c r="L28" s="234"/>
      <c r="M28" s="235"/>
      <c r="N28" s="233"/>
      <c r="O28" s="236"/>
      <c r="P28" s="236"/>
      <c r="Q28" s="237"/>
      <c r="R28" s="237"/>
      <c r="S28" s="237"/>
      <c r="T28" s="237"/>
      <c r="U28" s="237"/>
      <c r="V28" s="237"/>
      <c r="W28" s="238"/>
      <c r="X28" s="238"/>
      <c r="Y28" s="238"/>
      <c r="Z28" s="239"/>
      <c r="AA28" s="239"/>
      <c r="AB28" s="246" t="s">
        <v>161</v>
      </c>
      <c r="AC28" s="247"/>
      <c r="AD28" s="247"/>
      <c r="AE28" s="247"/>
      <c r="AF28" s="247"/>
      <c r="AG28" s="247"/>
      <c r="AH28" s="247"/>
      <c r="AI28" s="247"/>
      <c r="AJ28" s="247"/>
      <c r="AK28" s="247"/>
      <c r="AL28" s="247"/>
      <c r="AM28" s="247"/>
      <c r="AN28" s="247"/>
      <c r="AO28" s="247"/>
      <c r="AP28" s="247"/>
      <c r="AQ28" s="248">
        <f t="shared" si="3"/>
        <v>0</v>
      </c>
      <c r="AR28" s="249">
        <f t="shared" si="2"/>
        <v>0</v>
      </c>
      <c r="AW28" s="250"/>
      <c r="AX28" s="250"/>
      <c r="AY28" s="250"/>
      <c r="AZ28" s="250"/>
      <c r="BA28" s="250"/>
      <c r="BB28" s="250"/>
    </row>
    <row r="29" spans="1:54" s="7" customFormat="1" ht="15.75" customHeight="1" hidden="1">
      <c r="A29" s="244"/>
      <c r="B29" s="244"/>
      <c r="C29" s="244"/>
      <c r="D29" s="244"/>
      <c r="E29" s="244"/>
      <c r="F29" s="244"/>
      <c r="G29" s="245"/>
      <c r="H29" s="232"/>
      <c r="I29" s="233"/>
      <c r="J29" s="234"/>
      <c r="K29" s="234"/>
      <c r="L29" s="234"/>
      <c r="M29" s="235"/>
      <c r="N29" s="233"/>
      <c r="O29" s="236"/>
      <c r="P29" s="236"/>
      <c r="Q29" s="237"/>
      <c r="R29" s="237"/>
      <c r="S29" s="237"/>
      <c r="T29" s="237"/>
      <c r="U29" s="237"/>
      <c r="V29" s="237"/>
      <c r="W29" s="238"/>
      <c r="X29" s="238"/>
      <c r="Y29" s="238"/>
      <c r="Z29" s="239"/>
      <c r="AA29" s="239"/>
      <c r="AB29" s="246" t="s">
        <v>162</v>
      </c>
      <c r="AC29" s="247"/>
      <c r="AD29" s="247"/>
      <c r="AE29" s="247"/>
      <c r="AF29" s="247"/>
      <c r="AG29" s="247"/>
      <c r="AH29" s="247"/>
      <c r="AI29" s="247"/>
      <c r="AJ29" s="247"/>
      <c r="AK29" s="247"/>
      <c r="AL29" s="247"/>
      <c r="AM29" s="247"/>
      <c r="AN29" s="247"/>
      <c r="AO29" s="247"/>
      <c r="AP29" s="247"/>
      <c r="AQ29" s="248">
        <f t="shared" si="3"/>
        <v>0</v>
      </c>
      <c r="AR29" s="249">
        <f t="shared" si="2"/>
        <v>0</v>
      </c>
      <c r="AW29" s="250"/>
      <c r="AX29" s="250"/>
      <c r="AY29" s="250"/>
      <c r="AZ29" s="250"/>
      <c r="BA29" s="250"/>
      <c r="BB29" s="250"/>
    </row>
    <row r="30" spans="1:54" s="7" customFormat="1" ht="15.75" customHeight="1" hidden="1">
      <c r="A30" s="244"/>
      <c r="B30" s="244"/>
      <c r="C30" s="244"/>
      <c r="D30" s="244"/>
      <c r="E30" s="244"/>
      <c r="F30" s="244"/>
      <c r="G30" s="245"/>
      <c r="H30" s="232"/>
      <c r="I30" s="233"/>
      <c r="J30" s="234"/>
      <c r="K30" s="234"/>
      <c r="L30" s="234"/>
      <c r="M30" s="235"/>
      <c r="N30" s="233"/>
      <c r="O30" s="236"/>
      <c r="P30" s="236"/>
      <c r="Q30" s="237"/>
      <c r="R30" s="237"/>
      <c r="S30" s="237"/>
      <c r="T30" s="237"/>
      <c r="U30" s="237"/>
      <c r="V30" s="237"/>
      <c r="W30" s="238"/>
      <c r="X30" s="238"/>
      <c r="Y30" s="238"/>
      <c r="Z30" s="239"/>
      <c r="AA30" s="239"/>
      <c r="AB30" s="251" t="s">
        <v>163</v>
      </c>
      <c r="AC30" s="252">
        <f aca="true" t="shared" si="4" ref="AC30:AR30">SUM(AC24:AC29)+IF(AC22=0,AC23,AC22)</f>
        <v>0</v>
      </c>
      <c r="AD30" s="252">
        <f t="shared" si="4"/>
        <v>0</v>
      </c>
      <c r="AE30" s="252">
        <f t="shared" si="4"/>
        <v>0</v>
      </c>
      <c r="AF30" s="252">
        <f t="shared" si="4"/>
        <v>0</v>
      </c>
      <c r="AG30" s="252">
        <f t="shared" si="4"/>
        <v>0</v>
      </c>
      <c r="AH30" s="252">
        <f t="shared" si="4"/>
        <v>0</v>
      </c>
      <c r="AI30" s="252">
        <f t="shared" si="4"/>
        <v>0</v>
      </c>
      <c r="AJ30" s="252">
        <f t="shared" si="4"/>
        <v>0</v>
      </c>
      <c r="AK30" s="252">
        <f t="shared" si="4"/>
        <v>0</v>
      </c>
      <c r="AL30" s="252">
        <f t="shared" si="4"/>
        <v>0</v>
      </c>
      <c r="AM30" s="252">
        <f t="shared" si="4"/>
        <v>0</v>
      </c>
      <c r="AN30" s="252">
        <f t="shared" si="4"/>
        <v>0</v>
      </c>
      <c r="AO30" s="252">
        <f t="shared" si="4"/>
        <v>0</v>
      </c>
      <c r="AP30" s="252">
        <f t="shared" si="4"/>
        <v>0</v>
      </c>
      <c r="AQ30" s="252">
        <f t="shared" si="4"/>
        <v>0</v>
      </c>
      <c r="AR30" s="253">
        <f t="shared" si="4"/>
        <v>0</v>
      </c>
      <c r="AW30" s="250"/>
      <c r="AX30" s="250"/>
      <c r="AY30" s="250"/>
      <c r="AZ30" s="250"/>
      <c r="BA30" s="250"/>
      <c r="BB30" s="250"/>
    </row>
    <row r="31" spans="1:54" s="7" customFormat="1" ht="16.5" customHeight="1" hidden="1" thickBot="1">
      <c r="A31" s="244"/>
      <c r="B31" s="244"/>
      <c r="C31" s="244"/>
      <c r="D31" s="244"/>
      <c r="E31" s="244"/>
      <c r="F31" s="244"/>
      <c r="G31" s="245"/>
      <c r="H31" s="255"/>
      <c r="I31" s="256"/>
      <c r="J31" s="257"/>
      <c r="K31" s="257"/>
      <c r="L31" s="257"/>
      <c r="M31" s="258"/>
      <c r="N31" s="256"/>
      <c r="O31" s="259"/>
      <c r="P31" s="259"/>
      <c r="Q31" s="260"/>
      <c r="R31" s="260"/>
      <c r="S31" s="260"/>
      <c r="T31" s="260"/>
      <c r="U31" s="260"/>
      <c r="V31" s="260"/>
      <c r="W31" s="261"/>
      <c r="X31" s="261"/>
      <c r="Y31" s="261"/>
      <c r="Z31" s="262"/>
      <c r="AA31" s="262"/>
      <c r="AB31" s="263" t="s">
        <v>164</v>
      </c>
      <c r="AC31" s="264"/>
      <c r="AD31" s="264"/>
      <c r="AE31" s="264"/>
      <c r="AF31" s="264"/>
      <c r="AG31" s="264"/>
      <c r="AH31" s="264"/>
      <c r="AI31" s="264"/>
      <c r="AJ31" s="264"/>
      <c r="AK31" s="264"/>
      <c r="AL31" s="264"/>
      <c r="AM31" s="264"/>
      <c r="AN31" s="264"/>
      <c r="AO31" s="264"/>
      <c r="AP31" s="264"/>
      <c r="AQ31" s="265">
        <f aca="true" t="shared" si="5" ref="AQ31:AR37">+AC31+AE31+AG31+AI31+AK31+AM31+AO31</f>
        <v>0</v>
      </c>
      <c r="AR31" s="266">
        <f t="shared" si="5"/>
        <v>0</v>
      </c>
      <c r="AW31" s="250"/>
      <c r="AX31" s="250"/>
      <c r="AY31" s="250"/>
      <c r="AZ31" s="250"/>
      <c r="BA31" s="250"/>
      <c r="BB31" s="250"/>
    </row>
    <row r="32" spans="1:54" s="7" customFormat="1" ht="36" hidden="1">
      <c r="A32" s="244" t="s">
        <v>165</v>
      </c>
      <c r="B32" s="244" t="s">
        <v>166</v>
      </c>
      <c r="C32" s="244" t="s">
        <v>141</v>
      </c>
      <c r="D32" s="244" t="s">
        <v>142</v>
      </c>
      <c r="E32" s="244" t="s">
        <v>143</v>
      </c>
      <c r="F32" s="244" t="s">
        <v>167</v>
      </c>
      <c r="G32" s="245">
        <v>12</v>
      </c>
      <c r="H32" s="215">
        <v>886</v>
      </c>
      <c r="I32" s="216" t="s">
        <v>168</v>
      </c>
      <c r="J32" s="218"/>
      <c r="K32" s="218" t="s">
        <v>48</v>
      </c>
      <c r="L32" s="218"/>
      <c r="M32" s="219">
        <v>0</v>
      </c>
      <c r="N32" s="219" t="s">
        <v>169</v>
      </c>
      <c r="O32" s="267">
        <v>20</v>
      </c>
      <c r="P32" s="268">
        <v>15</v>
      </c>
      <c r="Q32" s="221">
        <f>SUMIF('Actividades inversión 886'!$B$13:$B$50,'Metas inversión 886'!$B32,'Actividades inversión 886'!M$13:M$50)</f>
        <v>870480000</v>
      </c>
      <c r="R32" s="221">
        <f>SUMIF('Actividades inversión 886'!$B$13:$B$50,'Metas inversión 886'!$B32,'Actividades inversión 886'!N$13:N$50)</f>
        <v>826160000</v>
      </c>
      <c r="S32" s="221">
        <f>SUMIF('Actividades inversión 886'!$B$13:$B$50,'Metas inversión 886'!$B32,'Actividades inversión 886'!O$13:O$50)</f>
        <v>336609120</v>
      </c>
      <c r="T32" s="221">
        <f>SUMIF('Actividades inversión 886'!$B$13:$B$50,'Metas inversión 886'!$B32,'Actividades inversión 886'!P$13:P$50)</f>
        <v>29204400</v>
      </c>
      <c r="U32" s="221">
        <f>SUMIF('Actividades inversión 886'!$B$13:$B$50,'Metas inversión 886'!$B32,'Actividades inversión 886'!Q$13:Q$50)</f>
        <v>161776134</v>
      </c>
      <c r="V32" s="221">
        <f>SUMIF('Actividades inversión 886'!$B$13:$B$50,'Metas inversión 886'!$B32,'Actividades inversión 886'!R$13:R$50)</f>
        <v>150908367</v>
      </c>
      <c r="W32" s="269" t="s">
        <v>170</v>
      </c>
      <c r="X32" s="269" t="s">
        <v>171</v>
      </c>
      <c r="Y32" s="270" t="s">
        <v>172</v>
      </c>
      <c r="Z32" s="222" t="s">
        <v>173</v>
      </c>
      <c r="AA32" s="222"/>
      <c r="AB32" s="271" t="s">
        <v>149</v>
      </c>
      <c r="AC32" s="272"/>
      <c r="AD32" s="272"/>
      <c r="AE32" s="272"/>
      <c r="AF32" s="272"/>
      <c r="AG32" s="272"/>
      <c r="AH32" s="272"/>
      <c r="AI32" s="272"/>
      <c r="AJ32" s="272"/>
      <c r="AK32" s="272"/>
      <c r="AL32" s="272"/>
      <c r="AM32" s="272"/>
      <c r="AN32" s="272"/>
      <c r="AO32" s="272"/>
      <c r="AP32" s="272"/>
      <c r="AQ32" s="273">
        <f t="shared" si="5"/>
        <v>0</v>
      </c>
      <c r="AR32" s="274">
        <f t="shared" si="5"/>
        <v>0</v>
      </c>
      <c r="AW32" s="250">
        <f>+'[1]99-METROPOLITANO'!N30</f>
        <v>870480000</v>
      </c>
      <c r="AX32" s="250">
        <f>+'[1]99-METROPOLITANO'!O30</f>
        <v>826160000</v>
      </c>
      <c r="AY32" s="250">
        <f>+'[1]99-METROPOLITANO'!P30</f>
        <v>336609120</v>
      </c>
      <c r="AZ32" s="250">
        <f>+'[1]99-METROPOLITANO'!Q30</f>
        <v>29204400</v>
      </c>
      <c r="BA32" s="250">
        <f>+'[1]99-METROPOLITANO'!R30</f>
        <v>161776134</v>
      </c>
      <c r="BB32" s="250">
        <f>+'[1]99-METROPOLITANO'!S30</f>
        <v>150908367</v>
      </c>
    </row>
    <row r="33" spans="1:54" s="7" customFormat="1" ht="15.75" hidden="1">
      <c r="A33" s="244"/>
      <c r="B33" s="244"/>
      <c r="C33" s="244"/>
      <c r="D33" s="244"/>
      <c r="E33" s="244"/>
      <c r="F33" s="244"/>
      <c r="G33" s="245"/>
      <c r="H33" s="232"/>
      <c r="I33" s="233"/>
      <c r="J33" s="234"/>
      <c r="K33" s="234"/>
      <c r="L33" s="234"/>
      <c r="M33" s="235"/>
      <c r="N33" s="235"/>
      <c r="O33" s="275"/>
      <c r="P33" s="276"/>
      <c r="Q33" s="237"/>
      <c r="R33" s="237"/>
      <c r="S33" s="237"/>
      <c r="T33" s="237"/>
      <c r="U33" s="237"/>
      <c r="V33" s="237"/>
      <c r="W33" s="277"/>
      <c r="X33" s="277"/>
      <c r="Y33" s="277"/>
      <c r="Z33" s="238"/>
      <c r="AA33" s="238"/>
      <c r="AB33" s="254" t="s">
        <v>150</v>
      </c>
      <c r="AC33" s="247"/>
      <c r="AD33" s="247"/>
      <c r="AE33" s="247"/>
      <c r="AF33" s="247"/>
      <c r="AG33" s="247"/>
      <c r="AH33" s="247"/>
      <c r="AI33" s="247"/>
      <c r="AJ33" s="247"/>
      <c r="AK33" s="247"/>
      <c r="AL33" s="247"/>
      <c r="AM33" s="247"/>
      <c r="AN33" s="247"/>
      <c r="AO33" s="247"/>
      <c r="AP33" s="247"/>
      <c r="AQ33" s="248">
        <f t="shared" si="5"/>
        <v>0</v>
      </c>
      <c r="AR33" s="249">
        <f t="shared" si="5"/>
        <v>0</v>
      </c>
      <c r="AW33" s="250"/>
      <c r="AX33" s="250"/>
      <c r="AY33" s="250"/>
      <c r="AZ33" s="250"/>
      <c r="BA33" s="250"/>
      <c r="BB33" s="250"/>
    </row>
    <row r="34" spans="1:54" s="7" customFormat="1" ht="15.75" hidden="1">
      <c r="A34" s="244"/>
      <c r="B34" s="244"/>
      <c r="C34" s="244"/>
      <c r="D34" s="244"/>
      <c r="E34" s="244"/>
      <c r="F34" s="244"/>
      <c r="G34" s="245"/>
      <c r="H34" s="232"/>
      <c r="I34" s="233"/>
      <c r="J34" s="234"/>
      <c r="K34" s="234"/>
      <c r="L34" s="234"/>
      <c r="M34" s="235"/>
      <c r="N34" s="235"/>
      <c r="O34" s="275"/>
      <c r="P34" s="276"/>
      <c r="Q34" s="237"/>
      <c r="R34" s="237"/>
      <c r="S34" s="237"/>
      <c r="T34" s="237"/>
      <c r="U34" s="237"/>
      <c r="V34" s="237"/>
      <c r="W34" s="277"/>
      <c r="X34" s="277"/>
      <c r="Y34" s="277"/>
      <c r="Z34" s="238"/>
      <c r="AA34" s="238"/>
      <c r="AB34" s="254" t="s">
        <v>151</v>
      </c>
      <c r="AC34" s="247"/>
      <c r="AD34" s="247"/>
      <c r="AE34" s="247"/>
      <c r="AF34" s="247"/>
      <c r="AG34" s="247"/>
      <c r="AH34" s="247"/>
      <c r="AI34" s="247"/>
      <c r="AJ34" s="247"/>
      <c r="AK34" s="247"/>
      <c r="AL34" s="247"/>
      <c r="AM34" s="247"/>
      <c r="AN34" s="247"/>
      <c r="AO34" s="247"/>
      <c r="AP34" s="247"/>
      <c r="AQ34" s="248">
        <f t="shared" si="5"/>
        <v>0</v>
      </c>
      <c r="AR34" s="249">
        <f t="shared" si="5"/>
        <v>0</v>
      </c>
      <c r="AW34" s="250"/>
      <c r="AX34" s="250"/>
      <c r="AY34" s="250"/>
      <c r="AZ34" s="250"/>
      <c r="BA34" s="250"/>
      <c r="BB34" s="250"/>
    </row>
    <row r="35" spans="1:54" s="7" customFormat="1" ht="15.75" hidden="1">
      <c r="A35" s="244"/>
      <c r="B35" s="244"/>
      <c r="C35" s="244"/>
      <c r="D35" s="244"/>
      <c r="E35" s="244"/>
      <c r="F35" s="244"/>
      <c r="G35" s="245"/>
      <c r="H35" s="232"/>
      <c r="I35" s="233"/>
      <c r="J35" s="234"/>
      <c r="K35" s="234"/>
      <c r="L35" s="234"/>
      <c r="M35" s="235"/>
      <c r="N35" s="235"/>
      <c r="O35" s="275"/>
      <c r="P35" s="276"/>
      <c r="Q35" s="237"/>
      <c r="R35" s="237"/>
      <c r="S35" s="237"/>
      <c r="T35" s="237"/>
      <c r="U35" s="237"/>
      <c r="V35" s="237"/>
      <c r="W35" s="277"/>
      <c r="X35" s="277"/>
      <c r="Y35" s="277"/>
      <c r="Z35" s="238"/>
      <c r="AA35" s="238"/>
      <c r="AB35" s="254" t="s">
        <v>152</v>
      </c>
      <c r="AC35" s="247"/>
      <c r="AD35" s="247"/>
      <c r="AE35" s="247"/>
      <c r="AF35" s="247"/>
      <c r="AG35" s="247"/>
      <c r="AH35" s="247"/>
      <c r="AI35" s="247"/>
      <c r="AJ35" s="247"/>
      <c r="AK35" s="247"/>
      <c r="AL35" s="247"/>
      <c r="AM35" s="247"/>
      <c r="AN35" s="247"/>
      <c r="AO35" s="247"/>
      <c r="AP35" s="247"/>
      <c r="AQ35" s="248">
        <f t="shared" si="5"/>
        <v>0</v>
      </c>
      <c r="AR35" s="249">
        <f t="shared" si="5"/>
        <v>0</v>
      </c>
      <c r="AW35" s="250"/>
      <c r="AX35" s="250"/>
      <c r="AY35" s="250"/>
      <c r="AZ35" s="250"/>
      <c r="BA35" s="250"/>
      <c r="BB35" s="250"/>
    </row>
    <row r="36" spans="1:54" s="7" customFormat="1" ht="16.5" hidden="1" thickBot="1">
      <c r="A36" s="244"/>
      <c r="B36" s="244"/>
      <c r="C36" s="244"/>
      <c r="D36" s="244"/>
      <c r="E36" s="244"/>
      <c r="F36" s="244"/>
      <c r="G36" s="245"/>
      <c r="H36" s="232"/>
      <c r="I36" s="233"/>
      <c r="J36" s="234"/>
      <c r="K36" s="234"/>
      <c r="L36" s="234"/>
      <c r="M36" s="235"/>
      <c r="N36" s="235"/>
      <c r="O36" s="275"/>
      <c r="P36" s="276"/>
      <c r="Q36" s="237"/>
      <c r="R36" s="237"/>
      <c r="S36" s="237"/>
      <c r="T36" s="237"/>
      <c r="U36" s="237"/>
      <c r="V36" s="237"/>
      <c r="W36" s="277"/>
      <c r="X36" s="277"/>
      <c r="Y36" s="277"/>
      <c r="Z36" s="238"/>
      <c r="AA36" s="238"/>
      <c r="AB36" s="254" t="s">
        <v>153</v>
      </c>
      <c r="AC36" s="247"/>
      <c r="AD36" s="247"/>
      <c r="AE36" s="247"/>
      <c r="AF36" s="247"/>
      <c r="AG36" s="247"/>
      <c r="AH36" s="247"/>
      <c r="AI36" s="247"/>
      <c r="AJ36" s="247"/>
      <c r="AK36" s="247"/>
      <c r="AL36" s="247"/>
      <c r="AM36" s="247"/>
      <c r="AN36" s="247"/>
      <c r="AO36" s="247"/>
      <c r="AP36" s="247"/>
      <c r="AQ36" s="248">
        <f t="shared" si="5"/>
        <v>0</v>
      </c>
      <c r="AR36" s="249">
        <f t="shared" si="5"/>
        <v>0</v>
      </c>
      <c r="AW36" s="250"/>
      <c r="AX36" s="250"/>
      <c r="AY36" s="250"/>
      <c r="AZ36" s="250"/>
      <c r="BA36" s="250"/>
      <c r="BB36" s="250"/>
    </row>
    <row r="37" spans="1:54" s="7" customFormat="1" ht="6.75" customHeight="1" hidden="1" thickBot="1">
      <c r="A37" s="244"/>
      <c r="B37" s="244"/>
      <c r="C37" s="244"/>
      <c r="D37" s="244"/>
      <c r="E37" s="244"/>
      <c r="F37" s="244"/>
      <c r="G37" s="245"/>
      <c r="H37" s="232"/>
      <c r="I37" s="233"/>
      <c r="J37" s="234"/>
      <c r="K37" s="234"/>
      <c r="L37" s="234"/>
      <c r="M37" s="235"/>
      <c r="N37" s="235"/>
      <c r="O37" s="275"/>
      <c r="P37" s="276"/>
      <c r="Q37" s="237"/>
      <c r="R37" s="237"/>
      <c r="S37" s="237"/>
      <c r="T37" s="237"/>
      <c r="U37" s="237"/>
      <c r="V37" s="237"/>
      <c r="W37" s="277"/>
      <c r="X37" s="277"/>
      <c r="Y37" s="277"/>
      <c r="Z37" s="238"/>
      <c r="AA37" s="238"/>
      <c r="AB37" s="246" t="s">
        <v>154</v>
      </c>
      <c r="AC37" s="247"/>
      <c r="AD37" s="247"/>
      <c r="AE37" s="247"/>
      <c r="AF37" s="247"/>
      <c r="AG37" s="247"/>
      <c r="AH37" s="247"/>
      <c r="AI37" s="247"/>
      <c r="AJ37" s="247"/>
      <c r="AK37" s="247"/>
      <c r="AL37" s="247"/>
      <c r="AM37" s="247"/>
      <c r="AN37" s="247"/>
      <c r="AO37" s="247"/>
      <c r="AP37" s="247"/>
      <c r="AQ37" s="248">
        <f t="shared" si="5"/>
        <v>0</v>
      </c>
      <c r="AR37" s="249">
        <f t="shared" si="5"/>
        <v>0</v>
      </c>
      <c r="AW37" s="250"/>
      <c r="AX37" s="250"/>
      <c r="AY37" s="250"/>
      <c r="AZ37" s="250"/>
      <c r="BA37" s="250"/>
      <c r="BB37" s="250"/>
    </row>
    <row r="38" spans="1:54" s="7" customFormat="1" ht="14.25" customHeight="1" hidden="1" thickBot="1">
      <c r="A38" s="244"/>
      <c r="B38" s="244"/>
      <c r="C38" s="244"/>
      <c r="D38" s="244"/>
      <c r="E38" s="244"/>
      <c r="F38" s="244"/>
      <c r="G38" s="245"/>
      <c r="H38" s="232"/>
      <c r="I38" s="233"/>
      <c r="J38" s="234"/>
      <c r="K38" s="234"/>
      <c r="L38" s="234"/>
      <c r="M38" s="235"/>
      <c r="N38" s="235"/>
      <c r="O38" s="275"/>
      <c r="P38" s="276"/>
      <c r="Q38" s="237"/>
      <c r="R38" s="237"/>
      <c r="S38" s="237"/>
      <c r="T38" s="237"/>
      <c r="U38" s="237"/>
      <c r="V38" s="237"/>
      <c r="W38" s="277"/>
      <c r="X38" s="277"/>
      <c r="Y38" s="277"/>
      <c r="Z38" s="238"/>
      <c r="AA38" s="238"/>
      <c r="AB38" s="251" t="s">
        <v>155</v>
      </c>
      <c r="AC38" s="252">
        <f aca="true" t="shared" si="6" ref="AC38:AR38">SUM(AC32:AC37)</f>
        <v>0</v>
      </c>
      <c r="AD38" s="252">
        <f t="shared" si="6"/>
        <v>0</v>
      </c>
      <c r="AE38" s="252">
        <f t="shared" si="6"/>
        <v>0</v>
      </c>
      <c r="AF38" s="252">
        <f t="shared" si="6"/>
        <v>0</v>
      </c>
      <c r="AG38" s="252">
        <f t="shared" si="6"/>
        <v>0</v>
      </c>
      <c r="AH38" s="252">
        <f t="shared" si="6"/>
        <v>0</v>
      </c>
      <c r="AI38" s="252">
        <f t="shared" si="6"/>
        <v>0</v>
      </c>
      <c r="AJ38" s="252">
        <f t="shared" si="6"/>
        <v>0</v>
      </c>
      <c r="AK38" s="252">
        <f t="shared" si="6"/>
        <v>0</v>
      </c>
      <c r="AL38" s="252">
        <f t="shared" si="6"/>
        <v>0</v>
      </c>
      <c r="AM38" s="252">
        <f t="shared" si="6"/>
        <v>0</v>
      </c>
      <c r="AN38" s="252">
        <f t="shared" si="6"/>
        <v>0</v>
      </c>
      <c r="AO38" s="252">
        <f t="shared" si="6"/>
        <v>0</v>
      </c>
      <c r="AP38" s="252">
        <f t="shared" si="6"/>
        <v>0</v>
      </c>
      <c r="AQ38" s="252">
        <f t="shared" si="6"/>
        <v>0</v>
      </c>
      <c r="AR38" s="253">
        <f t="shared" si="6"/>
        <v>0</v>
      </c>
      <c r="AW38" s="250"/>
      <c r="AX38" s="250"/>
      <c r="AY38" s="250"/>
      <c r="AZ38" s="250"/>
      <c r="BA38" s="250"/>
      <c r="BB38" s="250"/>
    </row>
    <row r="39" spans="1:54" s="7" customFormat="1" ht="12.75" customHeight="1" hidden="1" thickBot="1">
      <c r="A39" s="244"/>
      <c r="B39" s="244"/>
      <c r="C39" s="244"/>
      <c r="D39" s="244"/>
      <c r="E39" s="244"/>
      <c r="F39" s="244"/>
      <c r="G39" s="245"/>
      <c r="H39" s="232"/>
      <c r="I39" s="233"/>
      <c r="J39" s="234"/>
      <c r="K39" s="234"/>
      <c r="L39" s="234"/>
      <c r="M39" s="235"/>
      <c r="N39" s="235"/>
      <c r="O39" s="275"/>
      <c r="P39" s="276"/>
      <c r="Q39" s="237"/>
      <c r="R39" s="237"/>
      <c r="S39" s="237"/>
      <c r="T39" s="237"/>
      <c r="U39" s="237"/>
      <c r="V39" s="237"/>
      <c r="W39" s="277"/>
      <c r="X39" s="277"/>
      <c r="Y39" s="277"/>
      <c r="Z39" s="238"/>
      <c r="AA39" s="238"/>
      <c r="AB39" s="254" t="s">
        <v>156</v>
      </c>
      <c r="AC39" s="247"/>
      <c r="AD39" s="247"/>
      <c r="AE39" s="247"/>
      <c r="AF39" s="247"/>
      <c r="AG39" s="247"/>
      <c r="AH39" s="247"/>
      <c r="AI39" s="247"/>
      <c r="AJ39" s="247"/>
      <c r="AK39" s="247"/>
      <c r="AL39" s="247"/>
      <c r="AM39" s="247"/>
      <c r="AN39" s="247"/>
      <c r="AO39" s="247"/>
      <c r="AP39" s="247"/>
      <c r="AQ39" s="248">
        <f>+AC39+AE39+AG39+AI39+AK39+AM39+AO39</f>
        <v>0</v>
      </c>
      <c r="AR39" s="249">
        <f aca="true" t="shared" si="7" ref="AR39:AR45">+AD39+AF39+AH39+AJ39+AL39+AN39+AP39</f>
        <v>0</v>
      </c>
      <c r="AW39" s="250"/>
      <c r="AX39" s="250"/>
      <c r="AY39" s="250"/>
      <c r="AZ39" s="250"/>
      <c r="BA39" s="250"/>
      <c r="BB39" s="250"/>
    </row>
    <row r="40" spans="1:54" s="7" customFormat="1" ht="3.75" customHeight="1" hidden="1" thickBot="1">
      <c r="A40" s="244"/>
      <c r="B40" s="244"/>
      <c r="C40" s="244"/>
      <c r="D40" s="244"/>
      <c r="E40" s="244"/>
      <c r="F40" s="244"/>
      <c r="G40" s="245"/>
      <c r="H40" s="232"/>
      <c r="I40" s="233"/>
      <c r="J40" s="234"/>
      <c r="K40" s="234"/>
      <c r="L40" s="234"/>
      <c r="M40" s="235"/>
      <c r="N40" s="235"/>
      <c r="O40" s="275"/>
      <c r="P40" s="276"/>
      <c r="Q40" s="237"/>
      <c r="R40" s="237"/>
      <c r="S40" s="237"/>
      <c r="T40" s="237"/>
      <c r="U40" s="237"/>
      <c r="V40" s="237"/>
      <c r="W40" s="277"/>
      <c r="X40" s="277"/>
      <c r="Y40" s="277"/>
      <c r="Z40" s="238"/>
      <c r="AA40" s="238"/>
      <c r="AB40" s="254" t="s">
        <v>157</v>
      </c>
      <c r="AC40" s="247"/>
      <c r="AD40" s="247"/>
      <c r="AE40" s="247"/>
      <c r="AF40" s="247"/>
      <c r="AG40" s="247"/>
      <c r="AH40" s="247"/>
      <c r="AI40" s="247"/>
      <c r="AJ40" s="247"/>
      <c r="AK40" s="247"/>
      <c r="AL40" s="247"/>
      <c r="AM40" s="247"/>
      <c r="AN40" s="247"/>
      <c r="AO40" s="247"/>
      <c r="AP40" s="247"/>
      <c r="AQ40" s="248">
        <f aca="true" t="shared" si="8" ref="AQ40:AQ45">+AC40+AE40+AG40+AI40+AK40+AM40+AO40</f>
        <v>0</v>
      </c>
      <c r="AR40" s="249">
        <f t="shared" si="7"/>
        <v>0</v>
      </c>
      <c r="AW40" s="250"/>
      <c r="AX40" s="250"/>
      <c r="AY40" s="250"/>
      <c r="AZ40" s="250"/>
      <c r="BA40" s="250"/>
      <c r="BB40" s="250"/>
    </row>
    <row r="41" spans="1:54" s="7" customFormat="1" ht="14.25" customHeight="1" hidden="1" thickBot="1">
      <c r="A41" s="244"/>
      <c r="B41" s="244"/>
      <c r="C41" s="244"/>
      <c r="D41" s="244"/>
      <c r="E41" s="244"/>
      <c r="F41" s="244"/>
      <c r="G41" s="245"/>
      <c r="H41" s="232"/>
      <c r="I41" s="233"/>
      <c r="J41" s="234"/>
      <c r="K41" s="234"/>
      <c r="L41" s="234"/>
      <c r="M41" s="235"/>
      <c r="N41" s="235"/>
      <c r="O41" s="275"/>
      <c r="P41" s="276"/>
      <c r="Q41" s="237"/>
      <c r="R41" s="237"/>
      <c r="S41" s="237"/>
      <c r="T41" s="237"/>
      <c r="U41" s="237"/>
      <c r="V41" s="237"/>
      <c r="W41" s="277"/>
      <c r="X41" s="277"/>
      <c r="Y41" s="277"/>
      <c r="Z41" s="238"/>
      <c r="AA41" s="238"/>
      <c r="AB41" s="246" t="s">
        <v>158</v>
      </c>
      <c r="AC41" s="247"/>
      <c r="AD41" s="247"/>
      <c r="AE41" s="247"/>
      <c r="AF41" s="247"/>
      <c r="AG41" s="247"/>
      <c r="AH41" s="247"/>
      <c r="AI41" s="247"/>
      <c r="AJ41" s="247"/>
      <c r="AK41" s="247"/>
      <c r="AL41" s="247"/>
      <c r="AM41" s="247"/>
      <c r="AN41" s="247"/>
      <c r="AO41" s="247"/>
      <c r="AP41" s="247"/>
      <c r="AQ41" s="248">
        <f t="shared" si="8"/>
        <v>0</v>
      </c>
      <c r="AR41" s="249">
        <f t="shared" si="7"/>
        <v>0</v>
      </c>
      <c r="AW41" s="250"/>
      <c r="AX41" s="250"/>
      <c r="AY41" s="250"/>
      <c r="AZ41" s="250"/>
      <c r="BA41" s="250"/>
      <c r="BB41" s="250"/>
    </row>
    <row r="42" spans="1:54" s="7" customFormat="1" ht="14.25" customHeight="1" hidden="1" thickBot="1">
      <c r="A42" s="244"/>
      <c r="B42" s="244"/>
      <c r="C42" s="244"/>
      <c r="D42" s="244"/>
      <c r="E42" s="244"/>
      <c r="F42" s="244"/>
      <c r="G42" s="245"/>
      <c r="H42" s="232"/>
      <c r="I42" s="233"/>
      <c r="J42" s="234"/>
      <c r="K42" s="234"/>
      <c r="L42" s="234"/>
      <c r="M42" s="235"/>
      <c r="N42" s="235"/>
      <c r="O42" s="275"/>
      <c r="P42" s="276"/>
      <c r="Q42" s="237"/>
      <c r="R42" s="237"/>
      <c r="S42" s="237"/>
      <c r="T42" s="237"/>
      <c r="U42" s="237"/>
      <c r="V42" s="237"/>
      <c r="W42" s="277"/>
      <c r="X42" s="277"/>
      <c r="Y42" s="277"/>
      <c r="Z42" s="238"/>
      <c r="AA42" s="238"/>
      <c r="AB42" s="246" t="s">
        <v>159</v>
      </c>
      <c r="AC42" s="247"/>
      <c r="AD42" s="247"/>
      <c r="AE42" s="247"/>
      <c r="AF42" s="247"/>
      <c r="AG42" s="247"/>
      <c r="AH42" s="247"/>
      <c r="AI42" s="247"/>
      <c r="AJ42" s="247"/>
      <c r="AK42" s="247"/>
      <c r="AL42" s="247"/>
      <c r="AM42" s="247"/>
      <c r="AN42" s="247"/>
      <c r="AO42" s="247"/>
      <c r="AP42" s="247"/>
      <c r="AQ42" s="248">
        <f t="shared" si="8"/>
        <v>0</v>
      </c>
      <c r="AR42" s="249">
        <f t="shared" si="7"/>
        <v>0</v>
      </c>
      <c r="AW42" s="250"/>
      <c r="AX42" s="250"/>
      <c r="AY42" s="250"/>
      <c r="AZ42" s="250"/>
      <c r="BA42" s="250"/>
      <c r="BB42" s="250"/>
    </row>
    <row r="43" spans="1:54" s="7" customFormat="1" ht="14.25" customHeight="1" hidden="1" thickBot="1">
      <c r="A43" s="244"/>
      <c r="B43" s="244"/>
      <c r="C43" s="244"/>
      <c r="D43" s="244"/>
      <c r="E43" s="244"/>
      <c r="F43" s="244"/>
      <c r="G43" s="245"/>
      <c r="H43" s="232"/>
      <c r="I43" s="233"/>
      <c r="J43" s="234"/>
      <c r="K43" s="234"/>
      <c r="L43" s="234"/>
      <c r="M43" s="235"/>
      <c r="N43" s="235"/>
      <c r="O43" s="275"/>
      <c r="P43" s="276"/>
      <c r="Q43" s="237"/>
      <c r="R43" s="237"/>
      <c r="S43" s="237"/>
      <c r="T43" s="237"/>
      <c r="U43" s="237"/>
      <c r="V43" s="237"/>
      <c r="W43" s="277"/>
      <c r="X43" s="277"/>
      <c r="Y43" s="277"/>
      <c r="Z43" s="238"/>
      <c r="AA43" s="238"/>
      <c r="AB43" s="246" t="s">
        <v>160</v>
      </c>
      <c r="AC43" s="247"/>
      <c r="AD43" s="247"/>
      <c r="AE43" s="247"/>
      <c r="AF43" s="247"/>
      <c r="AG43" s="247"/>
      <c r="AH43" s="247"/>
      <c r="AI43" s="247"/>
      <c r="AJ43" s="247"/>
      <c r="AK43" s="247"/>
      <c r="AL43" s="247"/>
      <c r="AM43" s="247"/>
      <c r="AN43" s="247"/>
      <c r="AO43" s="247"/>
      <c r="AP43" s="247"/>
      <c r="AQ43" s="248">
        <f t="shared" si="8"/>
        <v>0</v>
      </c>
      <c r="AR43" s="249">
        <f t="shared" si="7"/>
        <v>0</v>
      </c>
      <c r="AW43" s="250"/>
      <c r="AX43" s="250"/>
      <c r="AY43" s="250"/>
      <c r="AZ43" s="250"/>
      <c r="BA43" s="250"/>
      <c r="BB43" s="250"/>
    </row>
    <row r="44" spans="1:54" s="7" customFormat="1" ht="14.25" customHeight="1" hidden="1" thickBot="1">
      <c r="A44" s="244"/>
      <c r="B44" s="244"/>
      <c r="C44" s="244"/>
      <c r="D44" s="244"/>
      <c r="E44" s="244"/>
      <c r="F44" s="244"/>
      <c r="G44" s="245"/>
      <c r="H44" s="232"/>
      <c r="I44" s="233"/>
      <c r="J44" s="234"/>
      <c r="K44" s="234"/>
      <c r="L44" s="234"/>
      <c r="M44" s="235"/>
      <c r="N44" s="235"/>
      <c r="O44" s="275"/>
      <c r="P44" s="276"/>
      <c r="Q44" s="237"/>
      <c r="R44" s="237"/>
      <c r="S44" s="237"/>
      <c r="T44" s="237"/>
      <c r="U44" s="237"/>
      <c r="V44" s="237"/>
      <c r="W44" s="277"/>
      <c r="X44" s="277"/>
      <c r="Y44" s="277"/>
      <c r="Z44" s="238"/>
      <c r="AA44" s="238"/>
      <c r="AB44" s="246" t="s">
        <v>161</v>
      </c>
      <c r="AC44" s="247"/>
      <c r="AD44" s="247"/>
      <c r="AE44" s="247"/>
      <c r="AF44" s="247"/>
      <c r="AG44" s="247"/>
      <c r="AH44" s="247"/>
      <c r="AI44" s="247"/>
      <c r="AJ44" s="247"/>
      <c r="AK44" s="247"/>
      <c r="AL44" s="247"/>
      <c r="AM44" s="247"/>
      <c r="AN44" s="247"/>
      <c r="AO44" s="247"/>
      <c r="AP44" s="247"/>
      <c r="AQ44" s="248">
        <f t="shared" si="8"/>
        <v>0</v>
      </c>
      <c r="AR44" s="249">
        <f t="shared" si="7"/>
        <v>0</v>
      </c>
      <c r="AW44" s="250"/>
      <c r="AX44" s="250"/>
      <c r="AY44" s="250"/>
      <c r="AZ44" s="250"/>
      <c r="BA44" s="250"/>
      <c r="BB44" s="250"/>
    </row>
    <row r="45" spans="1:54" s="7" customFormat="1" ht="14.25" customHeight="1" hidden="1" thickBot="1">
      <c r="A45" s="244"/>
      <c r="B45" s="244"/>
      <c r="C45" s="244"/>
      <c r="D45" s="244"/>
      <c r="E45" s="244"/>
      <c r="F45" s="244"/>
      <c r="G45" s="245"/>
      <c r="H45" s="232"/>
      <c r="I45" s="233"/>
      <c r="J45" s="234"/>
      <c r="K45" s="234"/>
      <c r="L45" s="234"/>
      <c r="M45" s="235"/>
      <c r="N45" s="235"/>
      <c r="O45" s="275"/>
      <c r="P45" s="276"/>
      <c r="Q45" s="237"/>
      <c r="R45" s="237"/>
      <c r="S45" s="237"/>
      <c r="T45" s="237"/>
      <c r="U45" s="237"/>
      <c r="V45" s="237"/>
      <c r="W45" s="277"/>
      <c r="X45" s="277"/>
      <c r="Y45" s="277"/>
      <c r="Z45" s="238"/>
      <c r="AA45" s="238"/>
      <c r="AB45" s="246" t="s">
        <v>162</v>
      </c>
      <c r="AC45" s="247"/>
      <c r="AD45" s="247"/>
      <c r="AE45" s="247"/>
      <c r="AF45" s="247"/>
      <c r="AG45" s="247"/>
      <c r="AH45" s="247"/>
      <c r="AI45" s="247"/>
      <c r="AJ45" s="247"/>
      <c r="AK45" s="247"/>
      <c r="AL45" s="247"/>
      <c r="AM45" s="247"/>
      <c r="AN45" s="247"/>
      <c r="AO45" s="247"/>
      <c r="AP45" s="247"/>
      <c r="AQ45" s="248">
        <f t="shared" si="8"/>
        <v>0</v>
      </c>
      <c r="AR45" s="249">
        <f t="shared" si="7"/>
        <v>0</v>
      </c>
      <c r="AW45" s="250"/>
      <c r="AX45" s="250"/>
      <c r="AY45" s="250"/>
      <c r="AZ45" s="250"/>
      <c r="BA45" s="250"/>
      <c r="BB45" s="250"/>
    </row>
    <row r="46" spans="1:54" s="7" customFormat="1" ht="14.25" customHeight="1" hidden="1" thickBot="1">
      <c r="A46" s="244"/>
      <c r="B46" s="244"/>
      <c r="C46" s="244"/>
      <c r="D46" s="244"/>
      <c r="E46" s="244"/>
      <c r="F46" s="244"/>
      <c r="G46" s="245"/>
      <c r="H46" s="232"/>
      <c r="I46" s="233"/>
      <c r="J46" s="234"/>
      <c r="K46" s="234"/>
      <c r="L46" s="234"/>
      <c r="M46" s="235"/>
      <c r="N46" s="235"/>
      <c r="O46" s="275"/>
      <c r="P46" s="276"/>
      <c r="Q46" s="237"/>
      <c r="R46" s="237"/>
      <c r="S46" s="237"/>
      <c r="T46" s="237"/>
      <c r="U46" s="237"/>
      <c r="V46" s="237"/>
      <c r="W46" s="277"/>
      <c r="X46" s="277"/>
      <c r="Y46" s="277"/>
      <c r="Z46" s="238"/>
      <c r="AA46" s="238"/>
      <c r="AB46" s="251" t="s">
        <v>163</v>
      </c>
      <c r="AC46" s="252">
        <f aca="true" t="shared" si="9" ref="AC46:AR46">SUM(AC40:AC45)+IF(AC38=0,AC39,AC38)</f>
        <v>0</v>
      </c>
      <c r="AD46" s="252">
        <f t="shared" si="9"/>
        <v>0</v>
      </c>
      <c r="AE46" s="252">
        <f t="shared" si="9"/>
        <v>0</v>
      </c>
      <c r="AF46" s="252">
        <f t="shared" si="9"/>
        <v>0</v>
      </c>
      <c r="AG46" s="252">
        <f t="shared" si="9"/>
        <v>0</v>
      </c>
      <c r="AH46" s="252">
        <f t="shared" si="9"/>
        <v>0</v>
      </c>
      <c r="AI46" s="252">
        <f t="shared" si="9"/>
        <v>0</v>
      </c>
      <c r="AJ46" s="252">
        <f t="shared" si="9"/>
        <v>0</v>
      </c>
      <c r="AK46" s="252">
        <f t="shared" si="9"/>
        <v>0</v>
      </c>
      <c r="AL46" s="252">
        <f t="shared" si="9"/>
        <v>0</v>
      </c>
      <c r="AM46" s="252">
        <f t="shared" si="9"/>
        <v>0</v>
      </c>
      <c r="AN46" s="252">
        <f t="shared" si="9"/>
        <v>0</v>
      </c>
      <c r="AO46" s="252">
        <f t="shared" si="9"/>
        <v>0</v>
      </c>
      <c r="AP46" s="252">
        <f t="shared" si="9"/>
        <v>0</v>
      </c>
      <c r="AQ46" s="252">
        <f t="shared" si="9"/>
        <v>0</v>
      </c>
      <c r="AR46" s="253">
        <f t="shared" si="9"/>
        <v>0</v>
      </c>
      <c r="AW46" s="250"/>
      <c r="AX46" s="250"/>
      <c r="AY46" s="250"/>
      <c r="AZ46" s="250"/>
      <c r="BA46" s="250"/>
      <c r="BB46" s="250"/>
    </row>
    <row r="47" spans="1:54" s="7" customFormat="1" ht="96.75" customHeight="1" hidden="1" thickBot="1">
      <c r="A47" s="244"/>
      <c r="B47" s="244"/>
      <c r="C47" s="244"/>
      <c r="D47" s="244"/>
      <c r="E47" s="244"/>
      <c r="F47" s="244"/>
      <c r="G47" s="245"/>
      <c r="H47" s="255"/>
      <c r="I47" s="256"/>
      <c r="J47" s="257"/>
      <c r="K47" s="257"/>
      <c r="L47" s="257"/>
      <c r="M47" s="258"/>
      <c r="N47" s="258"/>
      <c r="O47" s="278"/>
      <c r="P47" s="279"/>
      <c r="Q47" s="260"/>
      <c r="R47" s="260"/>
      <c r="S47" s="260"/>
      <c r="T47" s="260"/>
      <c r="U47" s="260"/>
      <c r="V47" s="260"/>
      <c r="W47" s="280"/>
      <c r="X47" s="280"/>
      <c r="Y47" s="280"/>
      <c r="Z47" s="261"/>
      <c r="AA47" s="261"/>
      <c r="AB47" s="263" t="s">
        <v>164</v>
      </c>
      <c r="AC47" s="264"/>
      <c r="AD47" s="264"/>
      <c r="AE47" s="264"/>
      <c r="AF47" s="264"/>
      <c r="AG47" s="264"/>
      <c r="AH47" s="264"/>
      <c r="AI47" s="264"/>
      <c r="AJ47" s="264"/>
      <c r="AK47" s="264"/>
      <c r="AL47" s="264"/>
      <c r="AM47" s="264"/>
      <c r="AN47" s="264"/>
      <c r="AO47" s="264"/>
      <c r="AP47" s="264"/>
      <c r="AQ47" s="265">
        <f aca="true" t="shared" si="10" ref="AQ47:AR53">+AC47+AE47+AG47+AI47+AK47+AM47+AO47</f>
        <v>0</v>
      </c>
      <c r="AR47" s="266">
        <f t="shared" si="10"/>
        <v>0</v>
      </c>
      <c r="AW47" s="250"/>
      <c r="AX47" s="250"/>
      <c r="AY47" s="250"/>
      <c r="AZ47" s="250"/>
      <c r="BA47" s="250"/>
      <c r="BB47" s="250"/>
    </row>
    <row r="48" spans="1:54" s="7" customFormat="1" ht="14.25" customHeight="1" hidden="1">
      <c r="A48" s="244" t="s">
        <v>174</v>
      </c>
      <c r="B48" s="244" t="s">
        <v>175</v>
      </c>
      <c r="C48" s="244" t="s">
        <v>141</v>
      </c>
      <c r="D48" s="244" t="s">
        <v>142</v>
      </c>
      <c r="E48" s="244" t="s">
        <v>143</v>
      </c>
      <c r="F48" s="244" t="s">
        <v>61</v>
      </c>
      <c r="G48" s="245">
        <v>7</v>
      </c>
      <c r="H48" s="215">
        <v>886</v>
      </c>
      <c r="I48" s="216" t="s">
        <v>176</v>
      </c>
      <c r="J48" s="217"/>
      <c r="K48" s="218" t="s">
        <v>48</v>
      </c>
      <c r="L48" s="281"/>
      <c r="M48" s="219">
        <v>0</v>
      </c>
      <c r="N48" s="219" t="s">
        <v>177</v>
      </c>
      <c r="O48" s="220">
        <v>1</v>
      </c>
      <c r="P48" s="220">
        <v>0.5</v>
      </c>
      <c r="Q48" s="221">
        <f>SUMIF('Actividades inversión 886'!$B$13:$B$50,'Metas inversión 886'!$B48,'Actividades inversión 886'!M$13:M$50)</f>
        <v>2548412860</v>
      </c>
      <c r="R48" s="221">
        <f>SUMIF('Actividades inversión 886'!$B$13:$B$50,'Metas inversión 886'!$B48,'Actividades inversión 886'!N$13:N$50)</f>
        <v>3035880800</v>
      </c>
      <c r="S48" s="221">
        <f>SUMIF('Actividades inversión 886'!$B$13:$B$50,'Metas inversión 886'!$B48,'Actividades inversión 886'!O$13:O$50)</f>
        <v>2423171720</v>
      </c>
      <c r="T48" s="221">
        <f>SUMIF('Actividades inversión 886'!$B$13:$B$50,'Metas inversión 886'!$B48,'Actividades inversión 886'!P$13:P$50)</f>
        <v>355042905</v>
      </c>
      <c r="U48" s="221">
        <f>SUMIF('Actividades inversión 886'!$B$13:$B$50,'Metas inversión 886'!$B48,'Actividades inversión 886'!Q$13:Q$50)</f>
        <v>236973479</v>
      </c>
      <c r="V48" s="221">
        <f>SUMIF('Actividades inversión 886'!$B$13:$B$50,'Metas inversión 886'!$B48,'Actividades inversión 886'!R$13:R$50)</f>
        <v>195795419</v>
      </c>
      <c r="W48" s="222" t="s">
        <v>178</v>
      </c>
      <c r="X48" s="223" t="s">
        <v>179</v>
      </c>
      <c r="Y48" s="223" t="s">
        <v>180</v>
      </c>
      <c r="Z48" s="222"/>
      <c r="AA48" s="222"/>
      <c r="AB48" s="271" t="s">
        <v>149</v>
      </c>
      <c r="AC48" s="272"/>
      <c r="AD48" s="272"/>
      <c r="AE48" s="272"/>
      <c r="AF48" s="272"/>
      <c r="AG48" s="272"/>
      <c r="AH48" s="272"/>
      <c r="AI48" s="272"/>
      <c r="AJ48" s="272"/>
      <c r="AK48" s="272"/>
      <c r="AL48" s="272"/>
      <c r="AM48" s="272"/>
      <c r="AN48" s="272"/>
      <c r="AO48" s="272"/>
      <c r="AP48" s="272"/>
      <c r="AQ48" s="273">
        <f t="shared" si="10"/>
        <v>0</v>
      </c>
      <c r="AR48" s="274">
        <f t="shared" si="10"/>
        <v>0</v>
      </c>
      <c r="AW48" s="250">
        <f>+'[1]99-METROPOLITANO'!N46</f>
        <v>2548412860</v>
      </c>
      <c r="AX48" s="250">
        <f>+'[1]99-METROPOLITANO'!O46</f>
        <v>3035880800</v>
      </c>
      <c r="AY48" s="250">
        <f>+'[1]99-METROPOLITANO'!P46</f>
        <v>2423171720</v>
      </c>
      <c r="AZ48" s="250">
        <f>+'[1]99-METROPOLITANO'!Q46</f>
        <v>355042905</v>
      </c>
      <c r="BA48" s="250">
        <f>+'[1]99-METROPOLITANO'!R46</f>
        <v>236973479</v>
      </c>
      <c r="BB48" s="250">
        <f>+'[1]99-METROPOLITANO'!S46</f>
        <v>195795419</v>
      </c>
    </row>
    <row r="49" spans="1:54" s="7" customFormat="1" ht="14.25" customHeight="1" hidden="1">
      <c r="A49" s="244"/>
      <c r="B49" s="244"/>
      <c r="C49" s="244"/>
      <c r="D49" s="244"/>
      <c r="E49" s="244"/>
      <c r="F49" s="244"/>
      <c r="G49" s="245"/>
      <c r="H49" s="232"/>
      <c r="I49" s="233"/>
      <c r="J49" s="234"/>
      <c r="K49" s="234"/>
      <c r="L49" s="282"/>
      <c r="M49" s="235"/>
      <c r="N49" s="235"/>
      <c r="O49" s="236"/>
      <c r="P49" s="236"/>
      <c r="Q49" s="237"/>
      <c r="R49" s="237"/>
      <c r="S49" s="237"/>
      <c r="T49" s="237"/>
      <c r="U49" s="237"/>
      <c r="V49" s="237"/>
      <c r="W49" s="238"/>
      <c r="X49" s="283"/>
      <c r="Y49" s="283"/>
      <c r="Z49" s="238"/>
      <c r="AA49" s="284"/>
      <c r="AB49" s="254" t="s">
        <v>150</v>
      </c>
      <c r="AC49" s="247"/>
      <c r="AD49" s="247"/>
      <c r="AE49" s="247"/>
      <c r="AF49" s="247"/>
      <c r="AG49" s="247"/>
      <c r="AH49" s="247"/>
      <c r="AI49" s="247"/>
      <c r="AJ49" s="247"/>
      <c r="AK49" s="247"/>
      <c r="AL49" s="247"/>
      <c r="AM49" s="247"/>
      <c r="AN49" s="247"/>
      <c r="AO49" s="247"/>
      <c r="AP49" s="247"/>
      <c r="AQ49" s="248">
        <f t="shared" si="10"/>
        <v>0</v>
      </c>
      <c r="AR49" s="249">
        <f t="shared" si="10"/>
        <v>0</v>
      </c>
      <c r="AW49" s="250"/>
      <c r="AX49" s="250"/>
      <c r="AY49" s="250"/>
      <c r="AZ49" s="250"/>
      <c r="BA49" s="250"/>
      <c r="BB49" s="250"/>
    </row>
    <row r="50" spans="1:54" s="7" customFormat="1" ht="14.25" customHeight="1" hidden="1">
      <c r="A50" s="244"/>
      <c r="B50" s="244"/>
      <c r="C50" s="244"/>
      <c r="D50" s="244"/>
      <c r="E50" s="244"/>
      <c r="F50" s="244"/>
      <c r="G50" s="245"/>
      <c r="H50" s="232"/>
      <c r="I50" s="233"/>
      <c r="J50" s="234"/>
      <c r="K50" s="234"/>
      <c r="L50" s="282"/>
      <c r="M50" s="235"/>
      <c r="N50" s="235"/>
      <c r="O50" s="236"/>
      <c r="P50" s="236"/>
      <c r="Q50" s="237"/>
      <c r="R50" s="237"/>
      <c r="S50" s="237"/>
      <c r="T50" s="237"/>
      <c r="U50" s="237"/>
      <c r="V50" s="237"/>
      <c r="W50" s="238"/>
      <c r="X50" s="283"/>
      <c r="Y50" s="283"/>
      <c r="Z50" s="238"/>
      <c r="AA50" s="284"/>
      <c r="AB50" s="254" t="s">
        <v>151</v>
      </c>
      <c r="AC50" s="247"/>
      <c r="AD50" s="247"/>
      <c r="AE50" s="247"/>
      <c r="AF50" s="247"/>
      <c r="AG50" s="247"/>
      <c r="AH50" s="247"/>
      <c r="AI50" s="247"/>
      <c r="AJ50" s="247"/>
      <c r="AK50" s="247"/>
      <c r="AL50" s="247"/>
      <c r="AM50" s="247"/>
      <c r="AN50" s="247"/>
      <c r="AO50" s="247"/>
      <c r="AP50" s="247"/>
      <c r="AQ50" s="248">
        <f t="shared" si="10"/>
        <v>0</v>
      </c>
      <c r="AR50" s="249">
        <f t="shared" si="10"/>
        <v>0</v>
      </c>
      <c r="AW50" s="250"/>
      <c r="AX50" s="250"/>
      <c r="AY50" s="250"/>
      <c r="AZ50" s="250"/>
      <c r="BA50" s="250"/>
      <c r="BB50" s="250"/>
    </row>
    <row r="51" spans="1:54" s="7" customFormat="1" ht="3" customHeight="1" hidden="1">
      <c r="A51" s="244"/>
      <c r="B51" s="244"/>
      <c r="C51" s="244"/>
      <c r="D51" s="244"/>
      <c r="E51" s="244"/>
      <c r="F51" s="244"/>
      <c r="G51" s="245"/>
      <c r="H51" s="232"/>
      <c r="I51" s="233"/>
      <c r="J51" s="234"/>
      <c r="K51" s="234"/>
      <c r="L51" s="282"/>
      <c r="M51" s="235"/>
      <c r="N51" s="235"/>
      <c r="O51" s="236"/>
      <c r="P51" s="236"/>
      <c r="Q51" s="237"/>
      <c r="R51" s="237"/>
      <c r="S51" s="237"/>
      <c r="T51" s="237"/>
      <c r="U51" s="237"/>
      <c r="V51" s="237"/>
      <c r="W51" s="238"/>
      <c r="X51" s="283"/>
      <c r="Y51" s="283"/>
      <c r="Z51" s="238"/>
      <c r="AA51" s="284"/>
      <c r="AB51" s="254" t="s">
        <v>152</v>
      </c>
      <c r="AC51" s="247"/>
      <c r="AD51" s="247"/>
      <c r="AE51" s="247"/>
      <c r="AF51" s="247"/>
      <c r="AG51" s="247"/>
      <c r="AH51" s="247"/>
      <c r="AI51" s="247"/>
      <c r="AJ51" s="247"/>
      <c r="AK51" s="247"/>
      <c r="AL51" s="247"/>
      <c r="AM51" s="247"/>
      <c r="AN51" s="247"/>
      <c r="AO51" s="247"/>
      <c r="AP51" s="247"/>
      <c r="AQ51" s="248">
        <f t="shared" si="10"/>
        <v>0</v>
      </c>
      <c r="AR51" s="249">
        <f t="shared" si="10"/>
        <v>0</v>
      </c>
      <c r="AW51" s="250"/>
      <c r="AX51" s="250"/>
      <c r="AY51" s="250"/>
      <c r="AZ51" s="250"/>
      <c r="BA51" s="250"/>
      <c r="BB51" s="250"/>
    </row>
    <row r="52" spans="1:54" s="7" customFormat="1" ht="14.25" customHeight="1" hidden="1">
      <c r="A52" s="244"/>
      <c r="B52" s="244"/>
      <c r="C52" s="244"/>
      <c r="D52" s="244"/>
      <c r="E52" s="244"/>
      <c r="F52" s="244"/>
      <c r="G52" s="245"/>
      <c r="H52" s="232"/>
      <c r="I52" s="233"/>
      <c r="J52" s="234"/>
      <c r="K52" s="234"/>
      <c r="L52" s="282"/>
      <c r="M52" s="235"/>
      <c r="N52" s="235"/>
      <c r="O52" s="236"/>
      <c r="P52" s="236"/>
      <c r="Q52" s="237"/>
      <c r="R52" s="237"/>
      <c r="S52" s="237"/>
      <c r="T52" s="237"/>
      <c r="U52" s="237"/>
      <c r="V52" s="237"/>
      <c r="W52" s="238"/>
      <c r="X52" s="283"/>
      <c r="Y52" s="283"/>
      <c r="Z52" s="238"/>
      <c r="AA52" s="284"/>
      <c r="AB52" s="254" t="s">
        <v>153</v>
      </c>
      <c r="AC52" s="247"/>
      <c r="AD52" s="247"/>
      <c r="AE52" s="247"/>
      <c r="AF52" s="247"/>
      <c r="AG52" s="247"/>
      <c r="AH52" s="247"/>
      <c r="AI52" s="247"/>
      <c r="AJ52" s="247"/>
      <c r="AK52" s="247"/>
      <c r="AL52" s="247"/>
      <c r="AM52" s="247"/>
      <c r="AN52" s="247"/>
      <c r="AO52" s="247"/>
      <c r="AP52" s="247"/>
      <c r="AQ52" s="248">
        <f t="shared" si="10"/>
        <v>0</v>
      </c>
      <c r="AR52" s="249">
        <f t="shared" si="10"/>
        <v>0</v>
      </c>
      <c r="AW52" s="250"/>
      <c r="AX52" s="250"/>
      <c r="AY52" s="250"/>
      <c r="AZ52" s="250"/>
      <c r="BA52" s="250"/>
      <c r="BB52" s="250"/>
    </row>
    <row r="53" spans="1:54" s="7" customFormat="1" ht="3.75" customHeight="1" hidden="1" thickBot="1">
      <c r="A53" s="244"/>
      <c r="B53" s="244"/>
      <c r="C53" s="244"/>
      <c r="D53" s="244"/>
      <c r="E53" s="244"/>
      <c r="F53" s="244"/>
      <c r="G53" s="245"/>
      <c r="H53" s="232"/>
      <c r="I53" s="233"/>
      <c r="J53" s="234"/>
      <c r="K53" s="234"/>
      <c r="L53" s="282"/>
      <c r="M53" s="235"/>
      <c r="N53" s="235"/>
      <c r="O53" s="236"/>
      <c r="P53" s="236"/>
      <c r="Q53" s="237"/>
      <c r="R53" s="237"/>
      <c r="S53" s="237"/>
      <c r="T53" s="237"/>
      <c r="U53" s="237"/>
      <c r="V53" s="237"/>
      <c r="W53" s="238"/>
      <c r="X53" s="283"/>
      <c r="Y53" s="283"/>
      <c r="Z53" s="238"/>
      <c r="AA53" s="284"/>
      <c r="AB53" s="246" t="s">
        <v>154</v>
      </c>
      <c r="AC53" s="247"/>
      <c r="AD53" s="247"/>
      <c r="AE53" s="247"/>
      <c r="AF53" s="247"/>
      <c r="AG53" s="247"/>
      <c r="AH53" s="247"/>
      <c r="AI53" s="247"/>
      <c r="AJ53" s="247"/>
      <c r="AK53" s="247"/>
      <c r="AL53" s="247"/>
      <c r="AM53" s="247"/>
      <c r="AN53" s="247"/>
      <c r="AO53" s="247"/>
      <c r="AP53" s="247"/>
      <c r="AQ53" s="248">
        <f t="shared" si="10"/>
        <v>0</v>
      </c>
      <c r="AR53" s="249">
        <f t="shared" si="10"/>
        <v>0</v>
      </c>
      <c r="AW53" s="250"/>
      <c r="AX53" s="250"/>
      <c r="AY53" s="250"/>
      <c r="AZ53" s="250"/>
      <c r="BA53" s="250"/>
      <c r="BB53" s="250"/>
    </row>
    <row r="54" spans="1:54" s="7" customFormat="1" ht="22.5" customHeight="1" hidden="1" thickBot="1">
      <c r="A54" s="244"/>
      <c r="B54" s="244"/>
      <c r="C54" s="244"/>
      <c r="D54" s="244"/>
      <c r="E54" s="244"/>
      <c r="F54" s="244"/>
      <c r="G54" s="245"/>
      <c r="H54" s="232"/>
      <c r="I54" s="233"/>
      <c r="J54" s="234"/>
      <c r="K54" s="234"/>
      <c r="L54" s="282"/>
      <c r="M54" s="235"/>
      <c r="N54" s="235"/>
      <c r="O54" s="236"/>
      <c r="P54" s="236"/>
      <c r="Q54" s="237"/>
      <c r="R54" s="237"/>
      <c r="S54" s="237"/>
      <c r="T54" s="237"/>
      <c r="U54" s="237"/>
      <c r="V54" s="237"/>
      <c r="W54" s="238"/>
      <c r="X54" s="283"/>
      <c r="Y54" s="283"/>
      <c r="Z54" s="238"/>
      <c r="AA54" s="284"/>
      <c r="AB54" s="251" t="s">
        <v>155</v>
      </c>
      <c r="AC54" s="252">
        <f aca="true" t="shared" si="11" ref="AC54:AR54">SUM(AC48:AC53)</f>
        <v>0</v>
      </c>
      <c r="AD54" s="252">
        <f t="shared" si="11"/>
        <v>0</v>
      </c>
      <c r="AE54" s="252">
        <f t="shared" si="11"/>
        <v>0</v>
      </c>
      <c r="AF54" s="252">
        <f t="shared" si="11"/>
        <v>0</v>
      </c>
      <c r="AG54" s="252">
        <f t="shared" si="11"/>
        <v>0</v>
      </c>
      <c r="AH54" s="252">
        <f t="shared" si="11"/>
        <v>0</v>
      </c>
      <c r="AI54" s="252">
        <f t="shared" si="11"/>
        <v>0</v>
      </c>
      <c r="AJ54" s="252">
        <f t="shared" si="11"/>
        <v>0</v>
      </c>
      <c r="AK54" s="252">
        <f t="shared" si="11"/>
        <v>0</v>
      </c>
      <c r="AL54" s="252">
        <f t="shared" si="11"/>
        <v>0</v>
      </c>
      <c r="AM54" s="252">
        <f t="shared" si="11"/>
        <v>0</v>
      </c>
      <c r="AN54" s="252">
        <f t="shared" si="11"/>
        <v>0</v>
      </c>
      <c r="AO54" s="252">
        <f t="shared" si="11"/>
        <v>0</v>
      </c>
      <c r="AP54" s="252">
        <f t="shared" si="11"/>
        <v>0</v>
      </c>
      <c r="AQ54" s="252">
        <f t="shared" si="11"/>
        <v>0</v>
      </c>
      <c r="AR54" s="253">
        <f t="shared" si="11"/>
        <v>0</v>
      </c>
      <c r="AW54" s="250"/>
      <c r="AX54" s="250"/>
      <c r="AY54" s="250"/>
      <c r="AZ54" s="250"/>
      <c r="BA54" s="250"/>
      <c r="BB54" s="250"/>
    </row>
    <row r="55" spans="1:54" s="7" customFormat="1" ht="14.25" customHeight="1" hidden="1" thickBot="1">
      <c r="A55" s="244"/>
      <c r="B55" s="244"/>
      <c r="C55" s="244"/>
      <c r="D55" s="244"/>
      <c r="E55" s="244"/>
      <c r="F55" s="244"/>
      <c r="G55" s="245"/>
      <c r="H55" s="232"/>
      <c r="I55" s="233"/>
      <c r="J55" s="234"/>
      <c r="K55" s="234"/>
      <c r="L55" s="282"/>
      <c r="M55" s="235"/>
      <c r="N55" s="235"/>
      <c r="O55" s="236"/>
      <c r="P55" s="236"/>
      <c r="Q55" s="237"/>
      <c r="R55" s="237"/>
      <c r="S55" s="237"/>
      <c r="T55" s="237"/>
      <c r="U55" s="237"/>
      <c r="V55" s="237"/>
      <c r="W55" s="238"/>
      <c r="X55" s="283"/>
      <c r="Y55" s="283"/>
      <c r="Z55" s="238"/>
      <c r="AA55" s="284"/>
      <c r="AB55" s="254" t="s">
        <v>156</v>
      </c>
      <c r="AC55" s="247"/>
      <c r="AD55" s="247"/>
      <c r="AE55" s="247"/>
      <c r="AF55" s="247"/>
      <c r="AG55" s="247"/>
      <c r="AH55" s="247"/>
      <c r="AI55" s="247"/>
      <c r="AJ55" s="247"/>
      <c r="AK55" s="247"/>
      <c r="AL55" s="247"/>
      <c r="AM55" s="247"/>
      <c r="AN55" s="247"/>
      <c r="AO55" s="247"/>
      <c r="AP55" s="247"/>
      <c r="AQ55" s="248">
        <f>+AC55+AE55+AG55+AI55+AK55+AM55+AO55</f>
        <v>0</v>
      </c>
      <c r="AR55" s="249">
        <f aca="true" t="shared" si="12" ref="AR55:AR61">+AD55+AF55+AH55+AJ55+AL55+AN55+AP55</f>
        <v>0</v>
      </c>
      <c r="AW55" s="250"/>
      <c r="AX55" s="250"/>
      <c r="AY55" s="250"/>
      <c r="AZ55" s="250"/>
      <c r="BA55" s="250"/>
      <c r="BB55" s="250"/>
    </row>
    <row r="56" spans="1:54" s="7" customFormat="1" ht="14.25" customHeight="1" hidden="1" thickBot="1">
      <c r="A56" s="244"/>
      <c r="B56" s="244"/>
      <c r="C56" s="244"/>
      <c r="D56" s="244"/>
      <c r="E56" s="244"/>
      <c r="F56" s="244"/>
      <c r="G56" s="245"/>
      <c r="H56" s="232"/>
      <c r="I56" s="233"/>
      <c r="J56" s="234"/>
      <c r="K56" s="234"/>
      <c r="L56" s="282"/>
      <c r="M56" s="235"/>
      <c r="N56" s="235"/>
      <c r="O56" s="236"/>
      <c r="P56" s="236"/>
      <c r="Q56" s="237"/>
      <c r="R56" s="237"/>
      <c r="S56" s="237"/>
      <c r="T56" s="237"/>
      <c r="U56" s="237"/>
      <c r="V56" s="237"/>
      <c r="W56" s="238"/>
      <c r="X56" s="283"/>
      <c r="Y56" s="283"/>
      <c r="Z56" s="238"/>
      <c r="AA56" s="284"/>
      <c r="AB56" s="254" t="s">
        <v>157</v>
      </c>
      <c r="AC56" s="247"/>
      <c r="AD56" s="247"/>
      <c r="AE56" s="247"/>
      <c r="AF56" s="247"/>
      <c r="AG56" s="247"/>
      <c r="AH56" s="247"/>
      <c r="AI56" s="247"/>
      <c r="AJ56" s="247"/>
      <c r="AK56" s="247"/>
      <c r="AL56" s="247"/>
      <c r="AM56" s="247"/>
      <c r="AN56" s="247"/>
      <c r="AO56" s="247"/>
      <c r="AP56" s="247"/>
      <c r="AQ56" s="248">
        <f aca="true" t="shared" si="13" ref="AQ56:AQ61">+AC56+AE56+AG56+AI56+AK56+AM56+AO56</f>
        <v>0</v>
      </c>
      <c r="AR56" s="249">
        <f t="shared" si="12"/>
        <v>0</v>
      </c>
      <c r="AW56" s="250"/>
      <c r="AX56" s="250"/>
      <c r="AY56" s="250"/>
      <c r="AZ56" s="250"/>
      <c r="BA56" s="250"/>
      <c r="BB56" s="250"/>
    </row>
    <row r="57" spans="1:54" s="7" customFormat="1" ht="14.25" customHeight="1" hidden="1" thickBot="1">
      <c r="A57" s="244"/>
      <c r="B57" s="244"/>
      <c r="C57" s="244"/>
      <c r="D57" s="244"/>
      <c r="E57" s="244"/>
      <c r="F57" s="244"/>
      <c r="G57" s="245"/>
      <c r="H57" s="232"/>
      <c r="I57" s="233"/>
      <c r="J57" s="234"/>
      <c r="K57" s="234"/>
      <c r="L57" s="282"/>
      <c r="M57" s="235"/>
      <c r="N57" s="235"/>
      <c r="O57" s="236"/>
      <c r="P57" s="236"/>
      <c r="Q57" s="237"/>
      <c r="R57" s="237"/>
      <c r="S57" s="237"/>
      <c r="T57" s="237"/>
      <c r="U57" s="237"/>
      <c r="V57" s="237"/>
      <c r="W57" s="238"/>
      <c r="X57" s="283"/>
      <c r="Y57" s="283"/>
      <c r="Z57" s="238"/>
      <c r="AA57" s="284"/>
      <c r="AB57" s="246" t="s">
        <v>158</v>
      </c>
      <c r="AC57" s="247"/>
      <c r="AD57" s="247"/>
      <c r="AE57" s="247"/>
      <c r="AF57" s="247"/>
      <c r="AG57" s="247"/>
      <c r="AH57" s="247"/>
      <c r="AI57" s="247"/>
      <c r="AJ57" s="247"/>
      <c r="AK57" s="247"/>
      <c r="AL57" s="247"/>
      <c r="AM57" s="247"/>
      <c r="AN57" s="247"/>
      <c r="AO57" s="247"/>
      <c r="AP57" s="247"/>
      <c r="AQ57" s="248">
        <f t="shared" si="13"/>
        <v>0</v>
      </c>
      <c r="AR57" s="249">
        <f t="shared" si="12"/>
        <v>0</v>
      </c>
      <c r="AW57" s="250"/>
      <c r="AX57" s="250"/>
      <c r="AY57" s="250"/>
      <c r="AZ57" s="250"/>
      <c r="BA57" s="250"/>
      <c r="BB57" s="250"/>
    </row>
    <row r="58" spans="1:54" s="7" customFormat="1" ht="14.25" customHeight="1" hidden="1" thickBot="1">
      <c r="A58" s="244"/>
      <c r="B58" s="244"/>
      <c r="C58" s="244"/>
      <c r="D58" s="244"/>
      <c r="E58" s="244"/>
      <c r="F58" s="244"/>
      <c r="G58" s="245"/>
      <c r="H58" s="232"/>
      <c r="I58" s="233"/>
      <c r="J58" s="234"/>
      <c r="K58" s="234"/>
      <c r="L58" s="282"/>
      <c r="M58" s="235"/>
      <c r="N58" s="235"/>
      <c r="O58" s="236"/>
      <c r="P58" s="236"/>
      <c r="Q58" s="237"/>
      <c r="R58" s="237"/>
      <c r="S58" s="237"/>
      <c r="T58" s="237"/>
      <c r="U58" s="237"/>
      <c r="V58" s="237"/>
      <c r="W58" s="238"/>
      <c r="X58" s="283"/>
      <c r="Y58" s="283"/>
      <c r="Z58" s="238"/>
      <c r="AA58" s="284"/>
      <c r="AB58" s="246" t="s">
        <v>159</v>
      </c>
      <c r="AC58" s="247"/>
      <c r="AD58" s="247"/>
      <c r="AE58" s="247"/>
      <c r="AF58" s="247"/>
      <c r="AG58" s="247"/>
      <c r="AH58" s="247"/>
      <c r="AI58" s="247"/>
      <c r="AJ58" s="247"/>
      <c r="AK58" s="247"/>
      <c r="AL58" s="247"/>
      <c r="AM58" s="247"/>
      <c r="AN58" s="247"/>
      <c r="AO58" s="247"/>
      <c r="AP58" s="247"/>
      <c r="AQ58" s="248">
        <f t="shared" si="13"/>
        <v>0</v>
      </c>
      <c r="AR58" s="249">
        <f t="shared" si="12"/>
        <v>0</v>
      </c>
      <c r="AW58" s="250"/>
      <c r="AX58" s="250"/>
      <c r="AY58" s="250"/>
      <c r="AZ58" s="250"/>
      <c r="BA58" s="250"/>
      <c r="BB58" s="250"/>
    </row>
    <row r="59" spans="1:54" s="7" customFormat="1" ht="14.25" customHeight="1" hidden="1" thickBot="1">
      <c r="A59" s="244"/>
      <c r="B59" s="244"/>
      <c r="C59" s="244"/>
      <c r="D59" s="244"/>
      <c r="E59" s="244"/>
      <c r="F59" s="244"/>
      <c r="G59" s="245"/>
      <c r="H59" s="232"/>
      <c r="I59" s="233"/>
      <c r="J59" s="234"/>
      <c r="K59" s="234"/>
      <c r="L59" s="282"/>
      <c r="M59" s="235"/>
      <c r="N59" s="235"/>
      <c r="O59" s="236"/>
      <c r="P59" s="236"/>
      <c r="Q59" s="237"/>
      <c r="R59" s="237"/>
      <c r="S59" s="237"/>
      <c r="T59" s="237"/>
      <c r="U59" s="237"/>
      <c r="V59" s="237"/>
      <c r="W59" s="238"/>
      <c r="X59" s="283"/>
      <c r="Y59" s="283"/>
      <c r="Z59" s="238"/>
      <c r="AA59" s="284"/>
      <c r="AB59" s="246" t="s">
        <v>160</v>
      </c>
      <c r="AC59" s="247"/>
      <c r="AD59" s="247"/>
      <c r="AE59" s="247"/>
      <c r="AF59" s="247"/>
      <c r="AG59" s="247"/>
      <c r="AH59" s="247"/>
      <c r="AI59" s="247"/>
      <c r="AJ59" s="247"/>
      <c r="AK59" s="247"/>
      <c r="AL59" s="247"/>
      <c r="AM59" s="247"/>
      <c r="AN59" s="247"/>
      <c r="AO59" s="247"/>
      <c r="AP59" s="247"/>
      <c r="AQ59" s="248">
        <f t="shared" si="13"/>
        <v>0</v>
      </c>
      <c r="AR59" s="249">
        <f t="shared" si="12"/>
        <v>0</v>
      </c>
      <c r="AW59" s="250"/>
      <c r="AX59" s="250"/>
      <c r="AY59" s="250"/>
      <c r="AZ59" s="250"/>
      <c r="BA59" s="250"/>
      <c r="BB59" s="250"/>
    </row>
    <row r="60" spans="1:54" s="7" customFormat="1" ht="14.25" customHeight="1" hidden="1" thickBot="1">
      <c r="A60" s="244"/>
      <c r="B60" s="244"/>
      <c r="C60" s="244"/>
      <c r="D60" s="244"/>
      <c r="E60" s="244"/>
      <c r="F60" s="244"/>
      <c r="G60" s="245"/>
      <c r="H60" s="232"/>
      <c r="I60" s="233"/>
      <c r="J60" s="234"/>
      <c r="K60" s="234"/>
      <c r="L60" s="282"/>
      <c r="M60" s="235"/>
      <c r="N60" s="235"/>
      <c r="O60" s="236"/>
      <c r="P60" s="236"/>
      <c r="Q60" s="237"/>
      <c r="R60" s="237"/>
      <c r="S60" s="237"/>
      <c r="T60" s="237"/>
      <c r="U60" s="237"/>
      <c r="V60" s="237"/>
      <c r="W60" s="238"/>
      <c r="X60" s="283"/>
      <c r="Y60" s="283"/>
      <c r="Z60" s="238"/>
      <c r="AA60" s="284"/>
      <c r="AB60" s="246" t="s">
        <v>161</v>
      </c>
      <c r="AC60" s="247"/>
      <c r="AD60" s="247"/>
      <c r="AE60" s="247"/>
      <c r="AF60" s="247"/>
      <c r="AG60" s="247"/>
      <c r="AH60" s="247"/>
      <c r="AI60" s="247"/>
      <c r="AJ60" s="247"/>
      <c r="AK60" s="247"/>
      <c r="AL60" s="247"/>
      <c r="AM60" s="247"/>
      <c r="AN60" s="247"/>
      <c r="AO60" s="247"/>
      <c r="AP60" s="247"/>
      <c r="AQ60" s="248">
        <f t="shared" si="13"/>
        <v>0</v>
      </c>
      <c r="AR60" s="249">
        <f t="shared" si="12"/>
        <v>0</v>
      </c>
      <c r="AW60" s="250"/>
      <c r="AX60" s="250"/>
      <c r="AY60" s="250"/>
      <c r="AZ60" s="250"/>
      <c r="BA60" s="250"/>
      <c r="BB60" s="250"/>
    </row>
    <row r="61" spans="1:54" s="7" customFormat="1" ht="14.25" customHeight="1" hidden="1" thickBot="1">
      <c r="A61" s="244"/>
      <c r="B61" s="244"/>
      <c r="C61" s="244"/>
      <c r="D61" s="244"/>
      <c r="E61" s="244"/>
      <c r="F61" s="244"/>
      <c r="G61" s="245"/>
      <c r="H61" s="232"/>
      <c r="I61" s="233"/>
      <c r="J61" s="234"/>
      <c r="K61" s="234"/>
      <c r="L61" s="282"/>
      <c r="M61" s="235"/>
      <c r="N61" s="235"/>
      <c r="O61" s="236"/>
      <c r="P61" s="236"/>
      <c r="Q61" s="237"/>
      <c r="R61" s="237"/>
      <c r="S61" s="237"/>
      <c r="T61" s="237"/>
      <c r="U61" s="237"/>
      <c r="V61" s="237"/>
      <c r="W61" s="238"/>
      <c r="X61" s="283"/>
      <c r="Y61" s="283"/>
      <c r="Z61" s="238"/>
      <c r="AA61" s="284"/>
      <c r="AB61" s="246" t="s">
        <v>162</v>
      </c>
      <c r="AC61" s="247"/>
      <c r="AD61" s="247"/>
      <c r="AE61" s="247"/>
      <c r="AF61" s="247"/>
      <c r="AG61" s="247"/>
      <c r="AH61" s="247"/>
      <c r="AI61" s="247"/>
      <c r="AJ61" s="247"/>
      <c r="AK61" s="247"/>
      <c r="AL61" s="247"/>
      <c r="AM61" s="247"/>
      <c r="AN61" s="247"/>
      <c r="AO61" s="247"/>
      <c r="AP61" s="247"/>
      <c r="AQ61" s="248">
        <f t="shared" si="13"/>
        <v>0</v>
      </c>
      <c r="AR61" s="249">
        <f t="shared" si="12"/>
        <v>0</v>
      </c>
      <c r="AW61" s="250"/>
      <c r="AX61" s="250"/>
      <c r="AY61" s="250"/>
      <c r="AZ61" s="250"/>
      <c r="BA61" s="250"/>
      <c r="BB61" s="250"/>
    </row>
    <row r="62" spans="1:54" s="7" customFormat="1" ht="14.25" customHeight="1" hidden="1" thickBot="1">
      <c r="A62" s="244"/>
      <c r="B62" s="244"/>
      <c r="C62" s="244"/>
      <c r="D62" s="244"/>
      <c r="E62" s="244"/>
      <c r="F62" s="244"/>
      <c r="G62" s="245"/>
      <c r="H62" s="232"/>
      <c r="I62" s="233"/>
      <c r="J62" s="234"/>
      <c r="K62" s="234"/>
      <c r="L62" s="282"/>
      <c r="M62" s="235"/>
      <c r="N62" s="235"/>
      <c r="O62" s="236"/>
      <c r="P62" s="236"/>
      <c r="Q62" s="237"/>
      <c r="R62" s="237"/>
      <c r="S62" s="237"/>
      <c r="T62" s="237"/>
      <c r="U62" s="237"/>
      <c r="V62" s="237"/>
      <c r="W62" s="238"/>
      <c r="X62" s="283"/>
      <c r="Y62" s="283"/>
      <c r="Z62" s="238"/>
      <c r="AA62" s="284"/>
      <c r="AB62" s="251" t="s">
        <v>163</v>
      </c>
      <c r="AC62" s="252">
        <f aca="true" t="shared" si="14" ref="AC62:AR62">SUM(AC56:AC61)+IF(AC54=0,AC55,AC54)</f>
        <v>0</v>
      </c>
      <c r="AD62" s="252">
        <f t="shared" si="14"/>
        <v>0</v>
      </c>
      <c r="AE62" s="252">
        <f t="shared" si="14"/>
        <v>0</v>
      </c>
      <c r="AF62" s="252">
        <f t="shared" si="14"/>
        <v>0</v>
      </c>
      <c r="AG62" s="252">
        <f t="shared" si="14"/>
        <v>0</v>
      </c>
      <c r="AH62" s="252">
        <f t="shared" si="14"/>
        <v>0</v>
      </c>
      <c r="AI62" s="252">
        <f t="shared" si="14"/>
        <v>0</v>
      </c>
      <c r="AJ62" s="252">
        <f t="shared" si="14"/>
        <v>0</v>
      </c>
      <c r="AK62" s="252">
        <f t="shared" si="14"/>
        <v>0</v>
      </c>
      <c r="AL62" s="252">
        <f t="shared" si="14"/>
        <v>0</v>
      </c>
      <c r="AM62" s="252">
        <f t="shared" si="14"/>
        <v>0</v>
      </c>
      <c r="AN62" s="252">
        <f t="shared" si="14"/>
        <v>0</v>
      </c>
      <c r="AO62" s="252">
        <f t="shared" si="14"/>
        <v>0</v>
      </c>
      <c r="AP62" s="252">
        <f t="shared" si="14"/>
        <v>0</v>
      </c>
      <c r="AQ62" s="252">
        <f t="shared" si="14"/>
        <v>0</v>
      </c>
      <c r="AR62" s="253">
        <f t="shared" si="14"/>
        <v>0</v>
      </c>
      <c r="AW62" s="250"/>
      <c r="AX62" s="250"/>
      <c r="AY62" s="250"/>
      <c r="AZ62" s="250"/>
      <c r="BA62" s="250"/>
      <c r="BB62" s="250"/>
    </row>
    <row r="63" spans="1:54" s="7" customFormat="1" ht="37.5" customHeight="1" hidden="1" thickBot="1">
      <c r="A63" s="244"/>
      <c r="B63" s="244"/>
      <c r="C63" s="244"/>
      <c r="D63" s="244"/>
      <c r="E63" s="244"/>
      <c r="F63" s="244"/>
      <c r="G63" s="245"/>
      <c r="H63" s="255"/>
      <c r="I63" s="256"/>
      <c r="J63" s="257"/>
      <c r="K63" s="257"/>
      <c r="L63" s="285"/>
      <c r="M63" s="258"/>
      <c r="N63" s="258"/>
      <c r="O63" s="259"/>
      <c r="P63" s="259"/>
      <c r="Q63" s="260"/>
      <c r="R63" s="260"/>
      <c r="S63" s="260"/>
      <c r="T63" s="260"/>
      <c r="U63" s="260"/>
      <c r="V63" s="260"/>
      <c r="W63" s="261"/>
      <c r="X63" s="286"/>
      <c r="Y63" s="286"/>
      <c r="Z63" s="261"/>
      <c r="AA63" s="287"/>
      <c r="AB63" s="263" t="s">
        <v>164</v>
      </c>
      <c r="AC63" s="264"/>
      <c r="AD63" s="264"/>
      <c r="AE63" s="264"/>
      <c r="AF63" s="264"/>
      <c r="AG63" s="264"/>
      <c r="AH63" s="264"/>
      <c r="AI63" s="264"/>
      <c r="AJ63" s="264"/>
      <c r="AK63" s="264"/>
      <c r="AL63" s="264"/>
      <c r="AM63" s="264"/>
      <c r="AN63" s="264"/>
      <c r="AO63" s="264"/>
      <c r="AP63" s="264"/>
      <c r="AQ63" s="265">
        <f aca="true" t="shared" si="15" ref="AQ63:AR67">+AC63+AE63+AG63+AI63+AK63+AM63+AO63</f>
        <v>0</v>
      </c>
      <c r="AR63" s="266">
        <f t="shared" si="15"/>
        <v>0</v>
      </c>
      <c r="AW63" s="250"/>
      <c r="AX63" s="250"/>
      <c r="AY63" s="250"/>
      <c r="AZ63" s="250"/>
      <c r="BA63" s="250"/>
      <c r="BB63" s="250"/>
    </row>
    <row r="64" spans="1:54" s="7" customFormat="1" ht="22.5" customHeight="1" hidden="1">
      <c r="A64" s="244" t="s">
        <v>181</v>
      </c>
      <c r="B64" s="244" t="s">
        <v>182</v>
      </c>
      <c r="C64" s="244" t="s">
        <v>141</v>
      </c>
      <c r="D64" s="244" t="s">
        <v>142</v>
      </c>
      <c r="E64" s="244" t="s">
        <v>167</v>
      </c>
      <c r="F64" s="244" t="s">
        <v>143</v>
      </c>
      <c r="G64" s="245">
        <v>13</v>
      </c>
      <c r="H64" s="215">
        <v>886</v>
      </c>
      <c r="I64" s="216" t="s">
        <v>70</v>
      </c>
      <c r="J64" s="217"/>
      <c r="K64" s="218" t="s">
        <v>48</v>
      </c>
      <c r="L64" s="281"/>
      <c r="M64" s="219">
        <v>0</v>
      </c>
      <c r="N64" s="288" t="s">
        <v>71</v>
      </c>
      <c r="O64" s="289">
        <v>15</v>
      </c>
      <c r="P64" s="290">
        <v>15</v>
      </c>
      <c r="Q64" s="221">
        <f>SUMIF('Actividades inversión 886'!$B$13:$B$50,'Metas inversión 886'!$B64,'Actividades inversión 886'!M$13:M$50)</f>
        <v>3228600140</v>
      </c>
      <c r="R64" s="221">
        <f>SUMIF('Actividades inversión 886'!$B$13:$B$50,'Metas inversión 886'!$B64,'Actividades inversión 886'!N$13:N$50)</f>
        <v>2790160700</v>
      </c>
      <c r="S64" s="221">
        <f>SUMIF('Actividades inversión 886'!$B$13:$B$50,'Metas inversión 886'!$B64,'Actividades inversión 886'!O$13:O$50)</f>
        <v>2511891080</v>
      </c>
      <c r="T64" s="221">
        <f>SUMIF('Actividades inversión 886'!$B$13:$B$50,'Metas inversión 886'!$B64,'Actividades inversión 886'!P$13:P$50)</f>
        <v>482674800</v>
      </c>
      <c r="U64" s="221">
        <f>SUMIF('Actividades inversión 886'!$B$13:$B$50,'Metas inversión 886'!$B64,'Actividades inversión 886'!Q$13:Q$50)</f>
        <v>720915224</v>
      </c>
      <c r="V64" s="221">
        <f>SUMIF('Actividades inversión 886'!$B$13:$B$50,'Metas inversión 886'!$B64,'Actividades inversión 886'!R$13:R$50)</f>
        <v>611808442</v>
      </c>
      <c r="W64" s="222" t="s">
        <v>183</v>
      </c>
      <c r="X64" s="291" t="s">
        <v>184</v>
      </c>
      <c r="Y64" s="291" t="s">
        <v>185</v>
      </c>
      <c r="Z64" s="222"/>
      <c r="AA64" s="292"/>
      <c r="AB64" s="271" t="s">
        <v>149</v>
      </c>
      <c r="AC64" s="272"/>
      <c r="AD64" s="272"/>
      <c r="AE64" s="272"/>
      <c r="AF64" s="272"/>
      <c r="AG64" s="272"/>
      <c r="AH64" s="272"/>
      <c r="AI64" s="272"/>
      <c r="AJ64" s="272"/>
      <c r="AK64" s="272"/>
      <c r="AL64" s="272"/>
      <c r="AM64" s="272"/>
      <c r="AN64" s="272"/>
      <c r="AO64" s="272"/>
      <c r="AP64" s="272"/>
      <c r="AQ64" s="273">
        <f t="shared" si="15"/>
        <v>0</v>
      </c>
      <c r="AR64" s="274">
        <f t="shared" si="15"/>
        <v>0</v>
      </c>
      <c r="AW64" s="250">
        <f>+'[1]99-METROPOLITANO'!N62</f>
        <v>3228600140</v>
      </c>
      <c r="AX64" s="250">
        <f>+'[1]99-METROPOLITANO'!O62</f>
        <v>2790160700</v>
      </c>
      <c r="AY64" s="250">
        <f>+'[1]99-METROPOLITANO'!P62</f>
        <v>2511891080</v>
      </c>
      <c r="AZ64" s="250">
        <f>+'[1]99-METROPOLITANO'!Q62</f>
        <v>482674800</v>
      </c>
      <c r="BA64" s="250">
        <f>+'[1]99-METROPOLITANO'!R62</f>
        <v>720915224</v>
      </c>
      <c r="BB64" s="250">
        <f>+'[1]99-METROPOLITANO'!S62</f>
        <v>611808442</v>
      </c>
    </row>
    <row r="65" spans="1:54" s="7" customFormat="1" ht="51.75" customHeight="1" hidden="1">
      <c r="A65" s="244"/>
      <c r="B65" s="244"/>
      <c r="C65" s="244"/>
      <c r="D65" s="244"/>
      <c r="E65" s="244"/>
      <c r="F65" s="244"/>
      <c r="G65" s="245"/>
      <c r="H65" s="232"/>
      <c r="I65" s="233"/>
      <c r="J65" s="234"/>
      <c r="K65" s="234"/>
      <c r="L65" s="282"/>
      <c r="M65" s="235"/>
      <c r="N65" s="293" t="s">
        <v>186</v>
      </c>
      <c r="O65" s="294">
        <v>2</v>
      </c>
      <c r="P65" s="290">
        <v>2</v>
      </c>
      <c r="Q65" s="237"/>
      <c r="R65" s="237"/>
      <c r="S65" s="237"/>
      <c r="T65" s="237"/>
      <c r="U65" s="237"/>
      <c r="V65" s="237"/>
      <c r="W65" s="238"/>
      <c r="X65" s="295"/>
      <c r="Y65" s="296"/>
      <c r="Z65" s="238"/>
      <c r="AA65" s="297"/>
      <c r="AB65" s="254" t="s">
        <v>150</v>
      </c>
      <c r="AC65" s="247"/>
      <c r="AD65" s="247"/>
      <c r="AE65" s="247"/>
      <c r="AF65" s="247"/>
      <c r="AG65" s="247"/>
      <c r="AH65" s="247"/>
      <c r="AI65" s="247"/>
      <c r="AJ65" s="247"/>
      <c r="AK65" s="247"/>
      <c r="AL65" s="247"/>
      <c r="AM65" s="247"/>
      <c r="AN65" s="247"/>
      <c r="AO65" s="247"/>
      <c r="AP65" s="247"/>
      <c r="AQ65" s="248">
        <f t="shared" si="15"/>
        <v>0</v>
      </c>
      <c r="AR65" s="249">
        <f t="shared" si="15"/>
        <v>0</v>
      </c>
      <c r="AW65" s="250"/>
      <c r="AX65" s="250"/>
      <c r="AY65" s="250"/>
      <c r="AZ65" s="250"/>
      <c r="BA65" s="250"/>
      <c r="BB65" s="250"/>
    </row>
    <row r="66" spans="1:54" s="7" customFormat="1" ht="29.25" customHeight="1" hidden="1">
      <c r="A66" s="244"/>
      <c r="B66" s="244"/>
      <c r="C66" s="244"/>
      <c r="D66" s="244"/>
      <c r="E66" s="244"/>
      <c r="F66" s="244"/>
      <c r="G66" s="245"/>
      <c r="H66" s="232"/>
      <c r="I66" s="233"/>
      <c r="J66" s="234"/>
      <c r="K66" s="234"/>
      <c r="L66" s="282"/>
      <c r="M66" s="235"/>
      <c r="N66" s="293" t="s">
        <v>187</v>
      </c>
      <c r="O66" s="294">
        <v>16</v>
      </c>
      <c r="P66" s="290">
        <v>18</v>
      </c>
      <c r="Q66" s="237"/>
      <c r="R66" s="237"/>
      <c r="S66" s="237"/>
      <c r="T66" s="237"/>
      <c r="U66" s="237"/>
      <c r="V66" s="237"/>
      <c r="W66" s="238"/>
      <c r="X66" s="295"/>
      <c r="Y66" s="296"/>
      <c r="Z66" s="238"/>
      <c r="AA66" s="297"/>
      <c r="AB66" s="254" t="s">
        <v>151</v>
      </c>
      <c r="AC66" s="247"/>
      <c r="AD66" s="247"/>
      <c r="AE66" s="247"/>
      <c r="AF66" s="247"/>
      <c r="AG66" s="247"/>
      <c r="AH66" s="247"/>
      <c r="AI66" s="247"/>
      <c r="AJ66" s="247"/>
      <c r="AK66" s="247"/>
      <c r="AL66" s="247"/>
      <c r="AM66" s="247"/>
      <c r="AN66" s="247"/>
      <c r="AO66" s="247"/>
      <c r="AP66" s="247"/>
      <c r="AQ66" s="248">
        <f t="shared" si="15"/>
        <v>0</v>
      </c>
      <c r="AR66" s="249">
        <f t="shared" si="15"/>
        <v>0</v>
      </c>
      <c r="AW66" s="250"/>
      <c r="AX66" s="250"/>
      <c r="AY66" s="250"/>
      <c r="AZ66" s="250"/>
      <c r="BA66" s="250"/>
      <c r="BB66" s="250"/>
    </row>
    <row r="67" spans="1:54" s="7" customFormat="1" ht="14.25" customHeight="1" hidden="1">
      <c r="A67" s="244"/>
      <c r="B67" s="244"/>
      <c r="C67" s="244"/>
      <c r="D67" s="244"/>
      <c r="E67" s="244"/>
      <c r="F67" s="244"/>
      <c r="G67" s="245"/>
      <c r="H67" s="232"/>
      <c r="I67" s="233"/>
      <c r="J67" s="234"/>
      <c r="K67" s="234"/>
      <c r="L67" s="282"/>
      <c r="M67" s="235"/>
      <c r="N67" s="298" t="s">
        <v>188</v>
      </c>
      <c r="O67" s="299">
        <v>2</v>
      </c>
      <c r="P67" s="300">
        <v>0</v>
      </c>
      <c r="Q67" s="237"/>
      <c r="R67" s="237"/>
      <c r="S67" s="237"/>
      <c r="T67" s="237"/>
      <c r="U67" s="237"/>
      <c r="V67" s="237"/>
      <c r="W67" s="238"/>
      <c r="X67" s="295"/>
      <c r="Y67" s="296"/>
      <c r="Z67" s="238"/>
      <c r="AA67" s="297"/>
      <c r="AB67" s="254" t="s">
        <v>152</v>
      </c>
      <c r="AC67" s="247"/>
      <c r="AD67" s="247"/>
      <c r="AE67" s="247"/>
      <c r="AF67" s="247"/>
      <c r="AG67" s="247"/>
      <c r="AH67" s="247"/>
      <c r="AI67" s="247"/>
      <c r="AJ67" s="247"/>
      <c r="AK67" s="247"/>
      <c r="AL67" s="247"/>
      <c r="AM67" s="247"/>
      <c r="AN67" s="247"/>
      <c r="AO67" s="247"/>
      <c r="AP67" s="247"/>
      <c r="AQ67" s="248">
        <f t="shared" si="15"/>
        <v>0</v>
      </c>
      <c r="AR67" s="249">
        <f t="shared" si="15"/>
        <v>0</v>
      </c>
      <c r="AW67" s="250"/>
      <c r="AX67" s="250"/>
      <c r="AY67" s="250"/>
      <c r="AZ67" s="250"/>
      <c r="BA67" s="250"/>
      <c r="BB67" s="250"/>
    </row>
    <row r="68" spans="1:54" s="7" customFormat="1" ht="14.25" customHeight="1" hidden="1">
      <c r="A68" s="244"/>
      <c r="B68" s="244"/>
      <c r="C68" s="244"/>
      <c r="D68" s="244"/>
      <c r="E68" s="244"/>
      <c r="F68" s="244"/>
      <c r="G68" s="245"/>
      <c r="H68" s="232"/>
      <c r="I68" s="233"/>
      <c r="J68" s="234"/>
      <c r="K68" s="234"/>
      <c r="L68" s="282"/>
      <c r="M68" s="235"/>
      <c r="N68" s="298"/>
      <c r="O68" s="301"/>
      <c r="P68" s="302"/>
      <c r="Q68" s="237"/>
      <c r="R68" s="237"/>
      <c r="S68" s="237"/>
      <c r="T68" s="237"/>
      <c r="U68" s="237"/>
      <c r="V68" s="237"/>
      <c r="W68" s="238"/>
      <c r="X68" s="295"/>
      <c r="Y68" s="296"/>
      <c r="Z68" s="238"/>
      <c r="AA68" s="297"/>
      <c r="AB68" s="254"/>
      <c r="AC68" s="247"/>
      <c r="AD68" s="247"/>
      <c r="AE68" s="247"/>
      <c r="AF68" s="247"/>
      <c r="AG68" s="247"/>
      <c r="AH68" s="247"/>
      <c r="AI68" s="247"/>
      <c r="AJ68" s="247"/>
      <c r="AK68" s="247"/>
      <c r="AL68" s="247"/>
      <c r="AM68" s="247"/>
      <c r="AN68" s="247"/>
      <c r="AO68" s="247"/>
      <c r="AP68" s="247"/>
      <c r="AQ68" s="248"/>
      <c r="AR68" s="249"/>
      <c r="AW68" s="250"/>
      <c r="AX68" s="250"/>
      <c r="AY68" s="250"/>
      <c r="AZ68" s="250"/>
      <c r="BA68" s="250"/>
      <c r="BB68" s="250"/>
    </row>
    <row r="69" spans="1:54" s="7" customFormat="1" ht="6" customHeight="1" hidden="1">
      <c r="A69" s="244"/>
      <c r="B69" s="244"/>
      <c r="C69" s="244"/>
      <c r="D69" s="244"/>
      <c r="E69" s="244"/>
      <c r="F69" s="244"/>
      <c r="G69" s="245"/>
      <c r="H69" s="232"/>
      <c r="I69" s="233"/>
      <c r="J69" s="234"/>
      <c r="K69" s="234"/>
      <c r="L69" s="282"/>
      <c r="M69" s="235"/>
      <c r="N69" s="298"/>
      <c r="O69" s="301"/>
      <c r="P69" s="302"/>
      <c r="Q69" s="237"/>
      <c r="R69" s="237"/>
      <c r="S69" s="237"/>
      <c r="T69" s="237"/>
      <c r="U69" s="237"/>
      <c r="V69" s="237"/>
      <c r="W69" s="238"/>
      <c r="X69" s="295"/>
      <c r="Y69" s="296"/>
      <c r="Z69" s="238"/>
      <c r="AA69" s="297"/>
      <c r="AB69" s="254"/>
      <c r="AC69" s="247"/>
      <c r="AD69" s="247"/>
      <c r="AE69" s="247"/>
      <c r="AF69" s="247"/>
      <c r="AG69" s="247"/>
      <c r="AH69" s="247"/>
      <c r="AI69" s="247"/>
      <c r="AJ69" s="247"/>
      <c r="AK69" s="247"/>
      <c r="AL69" s="247"/>
      <c r="AM69" s="247"/>
      <c r="AN69" s="247"/>
      <c r="AO69" s="247"/>
      <c r="AP69" s="247"/>
      <c r="AQ69" s="248"/>
      <c r="AR69" s="249"/>
      <c r="AW69" s="250"/>
      <c r="AX69" s="250"/>
      <c r="AY69" s="250"/>
      <c r="AZ69" s="250"/>
      <c r="BA69" s="250"/>
      <c r="BB69" s="250"/>
    </row>
    <row r="70" spans="1:54" s="7" customFormat="1" ht="28.5" customHeight="1" hidden="1">
      <c r="A70" s="244"/>
      <c r="B70" s="244"/>
      <c r="C70" s="244"/>
      <c r="D70" s="244"/>
      <c r="E70" s="244"/>
      <c r="F70" s="244"/>
      <c r="G70" s="245"/>
      <c r="H70" s="232"/>
      <c r="I70" s="233"/>
      <c r="J70" s="234"/>
      <c r="K70" s="234"/>
      <c r="L70" s="282"/>
      <c r="M70" s="235"/>
      <c r="N70" s="298"/>
      <c r="O70" s="301"/>
      <c r="P70" s="302"/>
      <c r="Q70" s="237"/>
      <c r="R70" s="237"/>
      <c r="S70" s="237"/>
      <c r="T70" s="237"/>
      <c r="U70" s="237"/>
      <c r="V70" s="237"/>
      <c r="W70" s="238"/>
      <c r="X70" s="295"/>
      <c r="Y70" s="296"/>
      <c r="Z70" s="238"/>
      <c r="AA70" s="297"/>
      <c r="AB70" s="254"/>
      <c r="AC70" s="247"/>
      <c r="AD70" s="247"/>
      <c r="AE70" s="247"/>
      <c r="AF70" s="247"/>
      <c r="AG70" s="247"/>
      <c r="AH70" s="247"/>
      <c r="AI70" s="247"/>
      <c r="AJ70" s="247"/>
      <c r="AK70" s="247"/>
      <c r="AL70" s="247"/>
      <c r="AM70" s="247"/>
      <c r="AN70" s="247"/>
      <c r="AO70" s="247"/>
      <c r="AP70" s="247"/>
      <c r="AQ70" s="248"/>
      <c r="AR70" s="249"/>
      <c r="AW70" s="250"/>
      <c r="AX70" s="250"/>
      <c r="AY70" s="250"/>
      <c r="AZ70" s="250"/>
      <c r="BA70" s="250"/>
      <c r="BB70" s="250"/>
    </row>
    <row r="71" spans="1:54" s="7" customFormat="1" ht="14.25" customHeight="1" hidden="1">
      <c r="A71" s="244"/>
      <c r="B71" s="244"/>
      <c r="C71" s="244"/>
      <c r="D71" s="244"/>
      <c r="E71" s="244"/>
      <c r="F71" s="244"/>
      <c r="G71" s="245"/>
      <c r="H71" s="232"/>
      <c r="I71" s="233"/>
      <c r="J71" s="234"/>
      <c r="K71" s="234"/>
      <c r="L71" s="282"/>
      <c r="M71" s="235"/>
      <c r="N71" s="298"/>
      <c r="O71" s="301"/>
      <c r="P71" s="302"/>
      <c r="Q71" s="237"/>
      <c r="R71" s="237"/>
      <c r="S71" s="237"/>
      <c r="T71" s="237"/>
      <c r="U71" s="237"/>
      <c r="V71" s="237"/>
      <c r="W71" s="238"/>
      <c r="X71" s="295"/>
      <c r="Y71" s="296"/>
      <c r="Z71" s="238"/>
      <c r="AA71" s="297"/>
      <c r="AB71" s="254"/>
      <c r="AC71" s="247"/>
      <c r="AD71" s="247"/>
      <c r="AE71" s="247"/>
      <c r="AF71" s="247"/>
      <c r="AG71" s="247"/>
      <c r="AH71" s="247"/>
      <c r="AI71" s="247"/>
      <c r="AJ71" s="247"/>
      <c r="AK71" s="247"/>
      <c r="AL71" s="247"/>
      <c r="AM71" s="247"/>
      <c r="AN71" s="247"/>
      <c r="AO71" s="247"/>
      <c r="AP71" s="247"/>
      <c r="AQ71" s="248"/>
      <c r="AR71" s="249"/>
      <c r="AW71" s="250"/>
      <c r="AX71" s="250"/>
      <c r="AY71" s="250"/>
      <c r="AZ71" s="250"/>
      <c r="BA71" s="250"/>
      <c r="BB71" s="250"/>
    </row>
    <row r="72" spans="1:54" s="7" customFormat="1" ht="14.25" customHeight="1" hidden="1">
      <c r="A72" s="244"/>
      <c r="B72" s="244"/>
      <c r="C72" s="244"/>
      <c r="D72" s="244"/>
      <c r="E72" s="244"/>
      <c r="F72" s="244"/>
      <c r="G72" s="245"/>
      <c r="H72" s="232"/>
      <c r="I72" s="233"/>
      <c r="J72" s="234"/>
      <c r="K72" s="234"/>
      <c r="L72" s="282"/>
      <c r="M72" s="235"/>
      <c r="N72" s="298"/>
      <c r="O72" s="301"/>
      <c r="P72" s="302"/>
      <c r="Q72" s="237"/>
      <c r="R72" s="237"/>
      <c r="S72" s="237"/>
      <c r="T72" s="237"/>
      <c r="U72" s="237"/>
      <c r="V72" s="237"/>
      <c r="W72" s="238"/>
      <c r="X72" s="295"/>
      <c r="Y72" s="296"/>
      <c r="Z72" s="238"/>
      <c r="AA72" s="297"/>
      <c r="AB72" s="254"/>
      <c r="AC72" s="247"/>
      <c r="AD72" s="247"/>
      <c r="AE72" s="247"/>
      <c r="AF72" s="247"/>
      <c r="AG72" s="247"/>
      <c r="AH72" s="247"/>
      <c r="AI72" s="247"/>
      <c r="AJ72" s="247"/>
      <c r="AK72" s="247"/>
      <c r="AL72" s="247"/>
      <c r="AM72" s="247"/>
      <c r="AN72" s="247"/>
      <c r="AO72" s="247"/>
      <c r="AP72" s="247"/>
      <c r="AQ72" s="248"/>
      <c r="AR72" s="249"/>
      <c r="AW72" s="250"/>
      <c r="AX72" s="250"/>
      <c r="AY72" s="250"/>
      <c r="AZ72" s="250"/>
      <c r="BA72" s="250"/>
      <c r="BB72" s="250"/>
    </row>
    <row r="73" spans="1:54" s="7" customFormat="1" ht="0.75" customHeight="1" thickBot="1">
      <c r="A73" s="244"/>
      <c r="B73" s="244"/>
      <c r="C73" s="244"/>
      <c r="D73" s="244"/>
      <c r="E73" s="244"/>
      <c r="F73" s="244"/>
      <c r="G73" s="245"/>
      <c r="H73" s="232"/>
      <c r="I73" s="233"/>
      <c r="J73" s="234"/>
      <c r="K73" s="234"/>
      <c r="L73" s="282"/>
      <c r="M73" s="235"/>
      <c r="N73" s="298"/>
      <c r="O73" s="301"/>
      <c r="P73" s="302"/>
      <c r="Q73" s="237"/>
      <c r="R73" s="237"/>
      <c r="S73" s="237"/>
      <c r="T73" s="237"/>
      <c r="U73" s="237"/>
      <c r="V73" s="237"/>
      <c r="W73" s="238"/>
      <c r="X73" s="295"/>
      <c r="Y73" s="296"/>
      <c r="Z73" s="238"/>
      <c r="AA73" s="297"/>
      <c r="AB73" s="254"/>
      <c r="AC73" s="247"/>
      <c r="AD73" s="247"/>
      <c r="AE73" s="247"/>
      <c r="AF73" s="247"/>
      <c r="AG73" s="247"/>
      <c r="AH73" s="247"/>
      <c r="AI73" s="247"/>
      <c r="AJ73" s="247"/>
      <c r="AK73" s="247"/>
      <c r="AL73" s="247"/>
      <c r="AM73" s="247"/>
      <c r="AN73" s="247"/>
      <c r="AO73" s="247"/>
      <c r="AP73" s="247"/>
      <c r="AQ73" s="248"/>
      <c r="AR73" s="249"/>
      <c r="AW73" s="250"/>
      <c r="AX73" s="250"/>
      <c r="AY73" s="250"/>
      <c r="AZ73" s="250"/>
      <c r="BA73" s="250"/>
      <c r="BB73" s="250"/>
    </row>
    <row r="74" spans="1:54" s="7" customFormat="1" ht="7.5" customHeight="1" hidden="1" thickBot="1">
      <c r="A74" s="244"/>
      <c r="B74" s="244"/>
      <c r="C74" s="244"/>
      <c r="D74" s="244"/>
      <c r="E74" s="244"/>
      <c r="F74" s="244"/>
      <c r="G74" s="245"/>
      <c r="H74" s="232"/>
      <c r="I74" s="233"/>
      <c r="J74" s="234"/>
      <c r="K74" s="234"/>
      <c r="L74" s="282"/>
      <c r="M74" s="235"/>
      <c r="N74" s="298"/>
      <c r="O74" s="301"/>
      <c r="P74" s="302"/>
      <c r="Q74" s="237"/>
      <c r="R74" s="237"/>
      <c r="S74" s="237"/>
      <c r="T74" s="237"/>
      <c r="U74" s="237"/>
      <c r="V74" s="237"/>
      <c r="W74" s="238"/>
      <c r="X74" s="295"/>
      <c r="Y74" s="296"/>
      <c r="Z74" s="238"/>
      <c r="AA74" s="297"/>
      <c r="AB74" s="254"/>
      <c r="AC74" s="247"/>
      <c r="AD74" s="247"/>
      <c r="AE74" s="247"/>
      <c r="AF74" s="247"/>
      <c r="AG74" s="247"/>
      <c r="AH74" s="247"/>
      <c r="AI74" s="247"/>
      <c r="AJ74" s="247"/>
      <c r="AK74" s="247"/>
      <c r="AL74" s="247"/>
      <c r="AM74" s="247"/>
      <c r="AN74" s="247"/>
      <c r="AO74" s="247"/>
      <c r="AP74" s="247"/>
      <c r="AQ74" s="248"/>
      <c r="AR74" s="249"/>
      <c r="AW74" s="250"/>
      <c r="AX74" s="250"/>
      <c r="AY74" s="250"/>
      <c r="AZ74" s="250"/>
      <c r="BA74" s="250"/>
      <c r="BB74" s="250"/>
    </row>
    <row r="75" spans="1:54" s="7" customFormat="1" ht="14.25" customHeight="1" hidden="1" thickBot="1">
      <c r="A75" s="244"/>
      <c r="B75" s="244"/>
      <c r="C75" s="244"/>
      <c r="D75" s="244"/>
      <c r="E75" s="244"/>
      <c r="F75" s="244"/>
      <c r="G75" s="245"/>
      <c r="H75" s="232"/>
      <c r="I75" s="233"/>
      <c r="J75" s="234"/>
      <c r="K75" s="234"/>
      <c r="L75" s="282"/>
      <c r="M75" s="235"/>
      <c r="N75" s="298"/>
      <c r="O75" s="301"/>
      <c r="P75" s="302"/>
      <c r="Q75" s="237"/>
      <c r="R75" s="237"/>
      <c r="S75" s="237"/>
      <c r="T75" s="237"/>
      <c r="U75" s="237"/>
      <c r="V75" s="237"/>
      <c r="W75" s="238"/>
      <c r="X75" s="295"/>
      <c r="Y75" s="296"/>
      <c r="Z75" s="238"/>
      <c r="AA75" s="297"/>
      <c r="AB75" s="254"/>
      <c r="AC75" s="247"/>
      <c r="AD75" s="247"/>
      <c r="AE75" s="247"/>
      <c r="AF75" s="247"/>
      <c r="AG75" s="247"/>
      <c r="AH75" s="247"/>
      <c r="AI75" s="247"/>
      <c r="AJ75" s="247"/>
      <c r="AK75" s="247"/>
      <c r="AL75" s="247"/>
      <c r="AM75" s="247"/>
      <c r="AN75" s="247"/>
      <c r="AO75" s="247"/>
      <c r="AP75" s="247"/>
      <c r="AQ75" s="248"/>
      <c r="AR75" s="249"/>
      <c r="AW75" s="250"/>
      <c r="AX75" s="250"/>
      <c r="AY75" s="250"/>
      <c r="AZ75" s="250"/>
      <c r="BA75" s="250"/>
      <c r="BB75" s="250"/>
    </row>
    <row r="76" spans="1:54" s="7" customFormat="1" ht="14.25" customHeight="1" hidden="1" thickBot="1">
      <c r="A76" s="244"/>
      <c r="B76" s="244"/>
      <c r="C76" s="244"/>
      <c r="D76" s="244"/>
      <c r="E76" s="244"/>
      <c r="F76" s="244"/>
      <c r="G76" s="245"/>
      <c r="H76" s="232"/>
      <c r="I76" s="233"/>
      <c r="J76" s="234"/>
      <c r="K76" s="234"/>
      <c r="L76" s="282"/>
      <c r="M76" s="235"/>
      <c r="N76" s="298"/>
      <c r="O76" s="301"/>
      <c r="P76" s="302"/>
      <c r="Q76" s="237"/>
      <c r="R76" s="237"/>
      <c r="S76" s="237"/>
      <c r="T76" s="237"/>
      <c r="U76" s="237"/>
      <c r="V76" s="237"/>
      <c r="W76" s="238"/>
      <c r="X76" s="295"/>
      <c r="Y76" s="296"/>
      <c r="Z76" s="238"/>
      <c r="AA76" s="297"/>
      <c r="AB76" s="254"/>
      <c r="AC76" s="247"/>
      <c r="AD76" s="247"/>
      <c r="AE76" s="247"/>
      <c r="AF76" s="247"/>
      <c r="AG76" s="247"/>
      <c r="AH76" s="247"/>
      <c r="AI76" s="247"/>
      <c r="AJ76" s="247"/>
      <c r="AK76" s="247"/>
      <c r="AL76" s="247"/>
      <c r="AM76" s="247"/>
      <c r="AN76" s="247"/>
      <c r="AO76" s="247"/>
      <c r="AP76" s="247"/>
      <c r="AQ76" s="248"/>
      <c r="AR76" s="249"/>
      <c r="AW76" s="250"/>
      <c r="AX76" s="250"/>
      <c r="AY76" s="250"/>
      <c r="AZ76" s="250"/>
      <c r="BA76" s="250"/>
      <c r="BB76" s="250"/>
    </row>
    <row r="77" spans="1:54" s="7" customFormat="1" ht="14.25" customHeight="1" hidden="1" thickBot="1">
      <c r="A77" s="244"/>
      <c r="B77" s="244"/>
      <c r="C77" s="244"/>
      <c r="D77" s="244"/>
      <c r="E77" s="244"/>
      <c r="F77" s="244"/>
      <c r="G77" s="245"/>
      <c r="H77" s="232"/>
      <c r="I77" s="233"/>
      <c r="J77" s="234"/>
      <c r="K77" s="234"/>
      <c r="L77" s="282"/>
      <c r="M77" s="235"/>
      <c r="N77" s="298"/>
      <c r="O77" s="301"/>
      <c r="P77" s="302"/>
      <c r="Q77" s="237"/>
      <c r="R77" s="237"/>
      <c r="S77" s="237"/>
      <c r="T77" s="237"/>
      <c r="U77" s="237"/>
      <c r="V77" s="237"/>
      <c r="W77" s="238"/>
      <c r="X77" s="295"/>
      <c r="Y77" s="296"/>
      <c r="Z77" s="238"/>
      <c r="AA77" s="297"/>
      <c r="AB77" s="254"/>
      <c r="AC77" s="247"/>
      <c r="AD77" s="247"/>
      <c r="AE77" s="247"/>
      <c r="AF77" s="247"/>
      <c r="AG77" s="247"/>
      <c r="AH77" s="247"/>
      <c r="AI77" s="247"/>
      <c r="AJ77" s="247"/>
      <c r="AK77" s="247"/>
      <c r="AL77" s="247"/>
      <c r="AM77" s="247"/>
      <c r="AN77" s="247"/>
      <c r="AO77" s="247"/>
      <c r="AP77" s="247"/>
      <c r="AQ77" s="248"/>
      <c r="AR77" s="249"/>
      <c r="AW77" s="250"/>
      <c r="AX77" s="250"/>
      <c r="AY77" s="250"/>
      <c r="AZ77" s="250"/>
      <c r="BA77" s="250"/>
      <c r="BB77" s="250"/>
    </row>
    <row r="78" spans="1:54" s="7" customFormat="1" ht="14.25" customHeight="1" hidden="1" thickBot="1">
      <c r="A78" s="244"/>
      <c r="B78" s="244"/>
      <c r="C78" s="244"/>
      <c r="D78" s="244"/>
      <c r="E78" s="244"/>
      <c r="F78" s="244"/>
      <c r="G78" s="245"/>
      <c r="H78" s="232"/>
      <c r="I78" s="233"/>
      <c r="J78" s="234"/>
      <c r="K78" s="234"/>
      <c r="L78" s="282"/>
      <c r="M78" s="235"/>
      <c r="N78" s="298"/>
      <c r="O78" s="301"/>
      <c r="P78" s="302"/>
      <c r="Q78" s="237"/>
      <c r="R78" s="237"/>
      <c r="S78" s="237"/>
      <c r="T78" s="237"/>
      <c r="U78" s="237"/>
      <c r="V78" s="237"/>
      <c r="W78" s="238"/>
      <c r="X78" s="295"/>
      <c r="Y78" s="296"/>
      <c r="Z78" s="238"/>
      <c r="AA78" s="297"/>
      <c r="AB78" s="254" t="s">
        <v>153</v>
      </c>
      <c r="AC78" s="247"/>
      <c r="AD78" s="247"/>
      <c r="AE78" s="247"/>
      <c r="AF78" s="247"/>
      <c r="AG78" s="247"/>
      <c r="AH78" s="247"/>
      <c r="AI78" s="247"/>
      <c r="AJ78" s="247"/>
      <c r="AK78" s="247"/>
      <c r="AL78" s="247"/>
      <c r="AM78" s="247"/>
      <c r="AN78" s="247"/>
      <c r="AO78" s="247"/>
      <c r="AP78" s="247"/>
      <c r="AQ78" s="248">
        <f>+AC78+AE78+AG78+AI78+AK78+AM78+AO78</f>
        <v>0</v>
      </c>
      <c r="AR78" s="249">
        <f>+AD78+AF78+AH78+AJ78+AL78+AN78+AP78</f>
        <v>0</v>
      </c>
      <c r="AW78" s="250"/>
      <c r="AX78" s="250"/>
      <c r="AY78" s="250"/>
      <c r="AZ78" s="250"/>
      <c r="BA78" s="250"/>
      <c r="BB78" s="250"/>
    </row>
    <row r="79" spans="1:54" s="7" customFormat="1" ht="4.5" customHeight="1" hidden="1" thickBot="1">
      <c r="A79" s="244"/>
      <c r="B79" s="244"/>
      <c r="C79" s="244"/>
      <c r="D79" s="244"/>
      <c r="E79" s="244"/>
      <c r="F79" s="244"/>
      <c r="G79" s="245"/>
      <c r="H79" s="255"/>
      <c r="I79" s="256"/>
      <c r="J79" s="257"/>
      <c r="K79" s="257"/>
      <c r="L79" s="285"/>
      <c r="M79" s="258"/>
      <c r="N79" s="303"/>
      <c r="O79" s="304"/>
      <c r="P79" s="305"/>
      <c r="Q79" s="260"/>
      <c r="R79" s="260"/>
      <c r="S79" s="260"/>
      <c r="T79" s="260"/>
      <c r="U79" s="260"/>
      <c r="V79" s="260"/>
      <c r="W79" s="261"/>
      <c r="X79" s="306"/>
      <c r="Y79" s="307"/>
      <c r="Z79" s="261"/>
      <c r="AA79" s="308"/>
      <c r="AB79" s="263" t="s">
        <v>164</v>
      </c>
      <c r="AC79" s="264"/>
      <c r="AD79" s="264"/>
      <c r="AE79" s="264"/>
      <c r="AF79" s="264"/>
      <c r="AG79" s="264"/>
      <c r="AH79" s="264"/>
      <c r="AI79" s="264"/>
      <c r="AJ79" s="264"/>
      <c r="AK79" s="264"/>
      <c r="AL79" s="264"/>
      <c r="AM79" s="264"/>
      <c r="AN79" s="264"/>
      <c r="AO79" s="264"/>
      <c r="AP79" s="264"/>
      <c r="AQ79" s="265">
        <f aca="true" t="shared" si="16" ref="AQ79:AR85">+AC79+AE79+AG79+AI79+AK79+AM79+AO79</f>
        <v>0</v>
      </c>
      <c r="AR79" s="266">
        <f t="shared" si="16"/>
        <v>0</v>
      </c>
      <c r="AW79" s="250"/>
      <c r="AX79" s="250"/>
      <c r="AY79" s="250"/>
      <c r="AZ79" s="250"/>
      <c r="BA79" s="250"/>
      <c r="BB79" s="250"/>
    </row>
    <row r="80" spans="1:54" s="7" customFormat="1" ht="14.25" customHeight="1">
      <c r="A80" s="244" t="s">
        <v>189</v>
      </c>
      <c r="B80" s="244" t="s">
        <v>190</v>
      </c>
      <c r="C80" s="244" t="s">
        <v>141</v>
      </c>
      <c r="D80" s="244" t="s">
        <v>142</v>
      </c>
      <c r="E80" s="244" t="s">
        <v>167</v>
      </c>
      <c r="F80" s="244" t="s">
        <v>167</v>
      </c>
      <c r="G80" s="245">
        <v>14</v>
      </c>
      <c r="H80" s="215">
        <v>886</v>
      </c>
      <c r="I80" s="219" t="s">
        <v>45</v>
      </c>
      <c r="J80" s="217"/>
      <c r="K80" s="218" t="s">
        <v>48</v>
      </c>
      <c r="L80" s="281"/>
      <c r="M80" s="219"/>
      <c r="N80" s="219" t="s">
        <v>191</v>
      </c>
      <c r="O80" s="309">
        <v>0.27</v>
      </c>
      <c r="P80" s="310">
        <v>0.27</v>
      </c>
      <c r="Q80" s="221">
        <f>SUMIF('Actividades inversión 886'!$B$13:$B$50,'Metas inversión 886'!$B80,'Actividades inversión 886'!M$13:M$50)</f>
        <v>0</v>
      </c>
      <c r="R80" s="221">
        <f>SUMIF('Actividades inversión 886'!$B$13:$B$50,'Metas inversión 886'!$B80,'Actividades inversión 886'!N$13:N$50)</f>
        <v>0</v>
      </c>
      <c r="S80" s="221">
        <f>SUMIF('Actividades inversión 886'!$B$13:$B$50,'Metas inversión 886'!$B80,'Actividades inversión 886'!O$13:O$50)</f>
        <v>0</v>
      </c>
      <c r="T80" s="221">
        <f>SUMIF('Actividades inversión 886'!$B$13:$B$50,'Metas inversión 886'!$B80,'Actividades inversión 886'!P$13:P$50)</f>
        <v>0</v>
      </c>
      <c r="U80" s="221">
        <f>SUMIF('Actividades inversión 886'!$B$13:$B$50,'Metas inversión 886'!$B80,'Actividades inversión 886'!Q$13:Q$50)</f>
        <v>3555200</v>
      </c>
      <c r="V80" s="221">
        <f>SUMIF('Actividades inversión 886'!$B$13:$B$50,'Metas inversión 886'!$B80,'Actividades inversión 886'!R$13:R$50)</f>
        <v>3555200</v>
      </c>
      <c r="W80" s="311"/>
      <c r="X80" s="311"/>
      <c r="Y80" s="311"/>
      <c r="Z80" s="222"/>
      <c r="AA80" s="222" t="s">
        <v>192</v>
      </c>
      <c r="AB80" s="271" t="s">
        <v>149</v>
      </c>
      <c r="AC80" s="272"/>
      <c r="AD80" s="272"/>
      <c r="AE80" s="272"/>
      <c r="AF80" s="272"/>
      <c r="AG80" s="272"/>
      <c r="AH80" s="272"/>
      <c r="AI80" s="272"/>
      <c r="AJ80" s="272"/>
      <c r="AK80" s="272"/>
      <c r="AL80" s="272"/>
      <c r="AM80" s="272"/>
      <c r="AN80" s="272"/>
      <c r="AO80" s="272"/>
      <c r="AP80" s="272"/>
      <c r="AQ80" s="273">
        <f t="shared" si="16"/>
        <v>0</v>
      </c>
      <c r="AR80" s="274">
        <f t="shared" si="16"/>
        <v>0</v>
      </c>
      <c r="AW80" s="250">
        <f>+'[1]99-METROPOLITANO'!N78</f>
        <v>0</v>
      </c>
      <c r="AX80" s="250">
        <f>+'[1]99-METROPOLITANO'!O78</f>
        <v>0</v>
      </c>
      <c r="AY80" s="250">
        <f>+'[1]99-METROPOLITANO'!P78</f>
        <v>0</v>
      </c>
      <c r="AZ80" s="250">
        <f>+'[1]99-METROPOLITANO'!Q78</f>
        <v>0</v>
      </c>
      <c r="BA80" s="250">
        <f>+'[1]99-METROPOLITANO'!R78</f>
        <v>3555200</v>
      </c>
      <c r="BB80" s="250">
        <f>+'[1]99-METROPOLITANO'!S78</f>
        <v>3555200</v>
      </c>
    </row>
    <row r="81" spans="1:54" s="7" customFormat="1" ht="14.25" customHeight="1">
      <c r="A81" s="244"/>
      <c r="B81" s="244"/>
      <c r="C81" s="244"/>
      <c r="D81" s="244"/>
      <c r="E81" s="244"/>
      <c r="F81" s="244"/>
      <c r="G81" s="245"/>
      <c r="H81" s="232"/>
      <c r="I81" s="235"/>
      <c r="J81" s="234"/>
      <c r="K81" s="234"/>
      <c r="L81" s="282"/>
      <c r="M81" s="235"/>
      <c r="N81" s="235"/>
      <c r="O81" s="312"/>
      <c r="P81" s="313"/>
      <c r="Q81" s="237"/>
      <c r="R81" s="237"/>
      <c r="S81" s="237"/>
      <c r="T81" s="237"/>
      <c r="U81" s="237"/>
      <c r="V81" s="237"/>
      <c r="W81" s="314"/>
      <c r="X81" s="314"/>
      <c r="Y81" s="314"/>
      <c r="Z81" s="284"/>
      <c r="AA81" s="284"/>
      <c r="AB81" s="254" t="s">
        <v>150</v>
      </c>
      <c r="AC81" s="247"/>
      <c r="AD81" s="247"/>
      <c r="AE81" s="247"/>
      <c r="AF81" s="247"/>
      <c r="AG81" s="247"/>
      <c r="AH81" s="247"/>
      <c r="AI81" s="247"/>
      <c r="AJ81" s="247"/>
      <c r="AK81" s="247"/>
      <c r="AL81" s="247"/>
      <c r="AM81" s="247"/>
      <c r="AN81" s="247"/>
      <c r="AO81" s="247"/>
      <c r="AP81" s="247"/>
      <c r="AQ81" s="248">
        <f t="shared" si="16"/>
        <v>0</v>
      </c>
      <c r="AR81" s="249">
        <f t="shared" si="16"/>
        <v>0</v>
      </c>
      <c r="AW81" s="250"/>
      <c r="AX81" s="250"/>
      <c r="AY81" s="250"/>
      <c r="AZ81" s="250"/>
      <c r="BA81" s="250"/>
      <c r="BB81" s="250"/>
    </row>
    <row r="82" spans="1:54" s="7" customFormat="1" ht="14.25" customHeight="1">
      <c r="A82" s="244"/>
      <c r="B82" s="244"/>
      <c r="C82" s="244"/>
      <c r="D82" s="244"/>
      <c r="E82" s="244"/>
      <c r="F82" s="244"/>
      <c r="G82" s="245"/>
      <c r="H82" s="232"/>
      <c r="I82" s="235"/>
      <c r="J82" s="234"/>
      <c r="K82" s="234"/>
      <c r="L82" s="282"/>
      <c r="M82" s="235"/>
      <c r="N82" s="235"/>
      <c r="O82" s="312"/>
      <c r="P82" s="313"/>
      <c r="Q82" s="237"/>
      <c r="R82" s="237"/>
      <c r="S82" s="237"/>
      <c r="T82" s="237"/>
      <c r="U82" s="237"/>
      <c r="V82" s="237"/>
      <c r="W82" s="314"/>
      <c r="X82" s="314"/>
      <c r="Y82" s="314"/>
      <c r="Z82" s="284"/>
      <c r="AA82" s="284"/>
      <c r="AB82" s="254" t="s">
        <v>151</v>
      </c>
      <c r="AC82" s="247"/>
      <c r="AD82" s="247"/>
      <c r="AE82" s="247"/>
      <c r="AF82" s="247"/>
      <c r="AG82" s="247"/>
      <c r="AH82" s="247"/>
      <c r="AI82" s="247"/>
      <c r="AJ82" s="247"/>
      <c r="AK82" s="247"/>
      <c r="AL82" s="247"/>
      <c r="AM82" s="247"/>
      <c r="AN82" s="247"/>
      <c r="AO82" s="247"/>
      <c r="AP82" s="247"/>
      <c r="AQ82" s="248">
        <f t="shared" si="16"/>
        <v>0</v>
      </c>
      <c r="AR82" s="249">
        <f t="shared" si="16"/>
        <v>0</v>
      </c>
      <c r="AW82" s="250"/>
      <c r="AX82" s="250"/>
      <c r="AY82" s="250"/>
      <c r="AZ82" s="250"/>
      <c r="BA82" s="250"/>
      <c r="BB82" s="250"/>
    </row>
    <row r="83" spans="1:54" s="7" customFormat="1" ht="14.25" customHeight="1">
      <c r="A83" s="244"/>
      <c r="B83" s="244"/>
      <c r="C83" s="244"/>
      <c r="D83" s="244"/>
      <c r="E83" s="244"/>
      <c r="F83" s="244"/>
      <c r="G83" s="245"/>
      <c r="H83" s="232"/>
      <c r="I83" s="235"/>
      <c r="J83" s="234"/>
      <c r="K83" s="234"/>
      <c r="L83" s="282"/>
      <c r="M83" s="235"/>
      <c r="N83" s="235"/>
      <c r="O83" s="312"/>
      <c r="P83" s="313"/>
      <c r="Q83" s="237"/>
      <c r="R83" s="237"/>
      <c r="S83" s="237"/>
      <c r="T83" s="237"/>
      <c r="U83" s="237"/>
      <c r="V83" s="237"/>
      <c r="W83" s="314"/>
      <c r="X83" s="314"/>
      <c r="Y83" s="314"/>
      <c r="Z83" s="284"/>
      <c r="AA83" s="284"/>
      <c r="AB83" s="254" t="s">
        <v>152</v>
      </c>
      <c r="AC83" s="247"/>
      <c r="AD83" s="247"/>
      <c r="AE83" s="247"/>
      <c r="AF83" s="247"/>
      <c r="AG83" s="247"/>
      <c r="AH83" s="247"/>
      <c r="AI83" s="247"/>
      <c r="AJ83" s="247"/>
      <c r="AK83" s="247"/>
      <c r="AL83" s="247"/>
      <c r="AM83" s="247"/>
      <c r="AN83" s="247"/>
      <c r="AO83" s="247"/>
      <c r="AP83" s="247"/>
      <c r="AQ83" s="248">
        <f t="shared" si="16"/>
        <v>0</v>
      </c>
      <c r="AR83" s="249">
        <f t="shared" si="16"/>
        <v>0</v>
      </c>
      <c r="AW83" s="250"/>
      <c r="AX83" s="250"/>
      <c r="AY83" s="250"/>
      <c r="AZ83" s="250"/>
      <c r="BA83" s="250"/>
      <c r="BB83" s="250"/>
    </row>
    <row r="84" spans="1:54" s="7" customFormat="1" ht="0.75" customHeight="1" thickBot="1">
      <c r="A84" s="244"/>
      <c r="B84" s="244"/>
      <c r="C84" s="244"/>
      <c r="D84" s="244"/>
      <c r="E84" s="244"/>
      <c r="F84" s="244"/>
      <c r="G84" s="245"/>
      <c r="H84" s="232"/>
      <c r="I84" s="235"/>
      <c r="J84" s="234"/>
      <c r="K84" s="234"/>
      <c r="L84" s="282"/>
      <c r="M84" s="235"/>
      <c r="N84" s="235"/>
      <c r="O84" s="312"/>
      <c r="P84" s="313"/>
      <c r="Q84" s="237"/>
      <c r="R84" s="237"/>
      <c r="S84" s="237"/>
      <c r="T84" s="237"/>
      <c r="U84" s="237"/>
      <c r="V84" s="237"/>
      <c r="W84" s="314"/>
      <c r="X84" s="314"/>
      <c r="Y84" s="314"/>
      <c r="Z84" s="284"/>
      <c r="AA84" s="222" t="s">
        <v>192</v>
      </c>
      <c r="AB84" s="254" t="s">
        <v>153</v>
      </c>
      <c r="AC84" s="247"/>
      <c r="AD84" s="247"/>
      <c r="AE84" s="247"/>
      <c r="AF84" s="247"/>
      <c r="AG84" s="247"/>
      <c r="AH84" s="247"/>
      <c r="AI84" s="247"/>
      <c r="AJ84" s="247"/>
      <c r="AK84" s="247"/>
      <c r="AL84" s="247"/>
      <c r="AM84" s="247"/>
      <c r="AN84" s="247"/>
      <c r="AO84" s="247"/>
      <c r="AP84" s="247"/>
      <c r="AQ84" s="248">
        <f t="shared" si="16"/>
        <v>0</v>
      </c>
      <c r="AR84" s="249">
        <f t="shared" si="16"/>
        <v>0</v>
      </c>
      <c r="AW84" s="250"/>
      <c r="AX84" s="250"/>
      <c r="AY84" s="250"/>
      <c r="AZ84" s="250"/>
      <c r="BA84" s="250"/>
      <c r="BB84" s="250"/>
    </row>
    <row r="85" spans="1:54" s="7" customFormat="1" ht="14.25" customHeight="1" hidden="1" thickBot="1">
      <c r="A85" s="244"/>
      <c r="B85" s="244"/>
      <c r="C85" s="244"/>
      <c r="D85" s="244"/>
      <c r="E85" s="244"/>
      <c r="F85" s="244"/>
      <c r="G85" s="245"/>
      <c r="H85" s="232"/>
      <c r="I85" s="235"/>
      <c r="J85" s="234"/>
      <c r="K85" s="234"/>
      <c r="L85" s="282"/>
      <c r="M85" s="235"/>
      <c r="N85" s="235"/>
      <c r="O85" s="312"/>
      <c r="P85" s="313"/>
      <c r="Q85" s="237"/>
      <c r="R85" s="237"/>
      <c r="S85" s="237"/>
      <c r="T85" s="237"/>
      <c r="U85" s="237"/>
      <c r="V85" s="237"/>
      <c r="W85" s="314"/>
      <c r="X85" s="314"/>
      <c r="Y85" s="314"/>
      <c r="Z85" s="284"/>
      <c r="AA85" s="284"/>
      <c r="AB85" s="246" t="s">
        <v>154</v>
      </c>
      <c r="AC85" s="247"/>
      <c r="AD85" s="247"/>
      <c r="AE85" s="247"/>
      <c r="AF85" s="247"/>
      <c r="AG85" s="247"/>
      <c r="AH85" s="247"/>
      <c r="AI85" s="247"/>
      <c r="AJ85" s="247"/>
      <c r="AK85" s="247"/>
      <c r="AL85" s="247"/>
      <c r="AM85" s="247"/>
      <c r="AN85" s="247"/>
      <c r="AO85" s="247"/>
      <c r="AP85" s="247"/>
      <c r="AQ85" s="248">
        <f t="shared" si="16"/>
        <v>0</v>
      </c>
      <c r="AR85" s="249">
        <f t="shared" si="16"/>
        <v>0</v>
      </c>
      <c r="AW85" s="250"/>
      <c r="AX85" s="250"/>
      <c r="AY85" s="250"/>
      <c r="AZ85" s="250"/>
      <c r="BA85" s="250"/>
      <c r="BB85" s="250"/>
    </row>
    <row r="86" spans="1:54" s="7" customFormat="1" ht="3" customHeight="1" hidden="1" thickBot="1">
      <c r="A86" s="244"/>
      <c r="B86" s="244"/>
      <c r="C86" s="244"/>
      <c r="D86" s="244"/>
      <c r="E86" s="244"/>
      <c r="F86" s="244"/>
      <c r="G86" s="245"/>
      <c r="H86" s="232"/>
      <c r="I86" s="235"/>
      <c r="J86" s="234"/>
      <c r="K86" s="234"/>
      <c r="L86" s="282"/>
      <c r="M86" s="235"/>
      <c r="N86" s="235"/>
      <c r="O86" s="312"/>
      <c r="P86" s="313"/>
      <c r="Q86" s="237"/>
      <c r="R86" s="237"/>
      <c r="S86" s="237"/>
      <c r="T86" s="237"/>
      <c r="U86" s="237"/>
      <c r="V86" s="237"/>
      <c r="W86" s="314"/>
      <c r="X86" s="314"/>
      <c r="Y86" s="314"/>
      <c r="Z86" s="284"/>
      <c r="AA86" s="284"/>
      <c r="AB86" s="251" t="s">
        <v>155</v>
      </c>
      <c r="AC86" s="252">
        <f aca="true" t="shared" si="17" ref="AC86:AR86">SUM(AC80:AC85)</f>
        <v>0</v>
      </c>
      <c r="AD86" s="252">
        <f t="shared" si="17"/>
        <v>0</v>
      </c>
      <c r="AE86" s="252">
        <f t="shared" si="17"/>
        <v>0</v>
      </c>
      <c r="AF86" s="252">
        <f t="shared" si="17"/>
        <v>0</v>
      </c>
      <c r="AG86" s="252">
        <f t="shared" si="17"/>
        <v>0</v>
      </c>
      <c r="AH86" s="252">
        <f t="shared" si="17"/>
        <v>0</v>
      </c>
      <c r="AI86" s="252">
        <f t="shared" si="17"/>
        <v>0</v>
      </c>
      <c r="AJ86" s="252">
        <f t="shared" si="17"/>
        <v>0</v>
      </c>
      <c r="AK86" s="252">
        <f t="shared" si="17"/>
        <v>0</v>
      </c>
      <c r="AL86" s="252">
        <f t="shared" si="17"/>
        <v>0</v>
      </c>
      <c r="AM86" s="252">
        <f t="shared" si="17"/>
        <v>0</v>
      </c>
      <c r="AN86" s="252">
        <f t="shared" si="17"/>
        <v>0</v>
      </c>
      <c r="AO86" s="252">
        <f t="shared" si="17"/>
        <v>0</v>
      </c>
      <c r="AP86" s="252">
        <f t="shared" si="17"/>
        <v>0</v>
      </c>
      <c r="AQ86" s="252">
        <f t="shared" si="17"/>
        <v>0</v>
      </c>
      <c r="AR86" s="253">
        <f t="shared" si="17"/>
        <v>0</v>
      </c>
      <c r="AW86" s="250"/>
      <c r="AX86" s="250"/>
      <c r="AY86" s="250"/>
      <c r="AZ86" s="250"/>
      <c r="BA86" s="250"/>
      <c r="BB86" s="250"/>
    </row>
    <row r="87" spans="1:54" s="7" customFormat="1" ht="14.25" customHeight="1" hidden="1" thickBot="1">
      <c r="A87" s="244"/>
      <c r="B87" s="244"/>
      <c r="C87" s="244"/>
      <c r="D87" s="244"/>
      <c r="E87" s="244"/>
      <c r="F87" s="244"/>
      <c r="G87" s="245"/>
      <c r="H87" s="232"/>
      <c r="I87" s="235"/>
      <c r="J87" s="234"/>
      <c r="K87" s="234"/>
      <c r="L87" s="282"/>
      <c r="M87" s="235"/>
      <c r="N87" s="235"/>
      <c r="O87" s="312"/>
      <c r="P87" s="313"/>
      <c r="Q87" s="237"/>
      <c r="R87" s="237"/>
      <c r="S87" s="237"/>
      <c r="T87" s="237"/>
      <c r="U87" s="237"/>
      <c r="V87" s="237"/>
      <c r="W87" s="314"/>
      <c r="X87" s="314"/>
      <c r="Y87" s="314"/>
      <c r="Z87" s="284"/>
      <c r="AA87" s="284"/>
      <c r="AB87" s="254" t="s">
        <v>156</v>
      </c>
      <c r="AC87" s="247"/>
      <c r="AD87" s="247"/>
      <c r="AE87" s="247"/>
      <c r="AF87" s="247"/>
      <c r="AG87" s="247"/>
      <c r="AH87" s="247"/>
      <c r="AI87" s="247"/>
      <c r="AJ87" s="247"/>
      <c r="AK87" s="247"/>
      <c r="AL87" s="247"/>
      <c r="AM87" s="247"/>
      <c r="AN87" s="247"/>
      <c r="AO87" s="247"/>
      <c r="AP87" s="247"/>
      <c r="AQ87" s="248">
        <f>+AC87+AE87+AG87+AI87+AK87+AM87+AO87</f>
        <v>0</v>
      </c>
      <c r="AR87" s="249">
        <f aca="true" t="shared" si="18" ref="AR87:AR93">+AD87+AF87+AH87+AJ87+AL87+AN87+AP87</f>
        <v>0</v>
      </c>
      <c r="AW87" s="250"/>
      <c r="AX87" s="250"/>
      <c r="AY87" s="250"/>
      <c r="AZ87" s="250"/>
      <c r="BA87" s="250"/>
      <c r="BB87" s="250"/>
    </row>
    <row r="88" spans="1:54" s="7" customFormat="1" ht="12" customHeight="1" hidden="1" thickBot="1">
      <c r="A88" s="244"/>
      <c r="B88" s="244"/>
      <c r="C88" s="244"/>
      <c r="D88" s="244"/>
      <c r="E88" s="244"/>
      <c r="F88" s="244"/>
      <c r="G88" s="245"/>
      <c r="H88" s="232"/>
      <c r="I88" s="235"/>
      <c r="J88" s="234"/>
      <c r="K88" s="234"/>
      <c r="L88" s="282"/>
      <c r="M88" s="235"/>
      <c r="N88" s="235"/>
      <c r="O88" s="312"/>
      <c r="P88" s="313"/>
      <c r="Q88" s="237"/>
      <c r="R88" s="237"/>
      <c r="S88" s="237"/>
      <c r="T88" s="237"/>
      <c r="U88" s="237"/>
      <c r="V88" s="237"/>
      <c r="W88" s="314"/>
      <c r="X88" s="314"/>
      <c r="Y88" s="314"/>
      <c r="Z88" s="284"/>
      <c r="AA88" s="222" t="s">
        <v>192</v>
      </c>
      <c r="AB88" s="254" t="s">
        <v>157</v>
      </c>
      <c r="AC88" s="247"/>
      <c r="AD88" s="247"/>
      <c r="AE88" s="247"/>
      <c r="AF88" s="247"/>
      <c r="AG88" s="247"/>
      <c r="AH88" s="247"/>
      <c r="AI88" s="247"/>
      <c r="AJ88" s="247"/>
      <c r="AK88" s="247"/>
      <c r="AL88" s="247"/>
      <c r="AM88" s="247"/>
      <c r="AN88" s="247"/>
      <c r="AO88" s="247"/>
      <c r="AP88" s="247"/>
      <c r="AQ88" s="248">
        <f aca="true" t="shared" si="19" ref="AQ88:AQ93">+AC88+AE88+AG88+AI88+AK88+AM88+AO88</f>
        <v>0</v>
      </c>
      <c r="AR88" s="249">
        <f t="shared" si="18"/>
        <v>0</v>
      </c>
      <c r="AW88" s="250"/>
      <c r="AX88" s="250"/>
      <c r="AY88" s="250"/>
      <c r="AZ88" s="250"/>
      <c r="BA88" s="250"/>
      <c r="BB88" s="250"/>
    </row>
    <row r="89" spans="1:54" s="7" customFormat="1" ht="14.25" customHeight="1" hidden="1" thickBot="1">
      <c r="A89" s="244"/>
      <c r="B89" s="244"/>
      <c r="C89" s="244"/>
      <c r="D89" s="244"/>
      <c r="E89" s="244"/>
      <c r="F89" s="244"/>
      <c r="G89" s="245"/>
      <c r="H89" s="232"/>
      <c r="I89" s="235"/>
      <c r="J89" s="234"/>
      <c r="K89" s="234"/>
      <c r="L89" s="282"/>
      <c r="M89" s="235"/>
      <c r="N89" s="235"/>
      <c r="O89" s="312"/>
      <c r="P89" s="313"/>
      <c r="Q89" s="237"/>
      <c r="R89" s="237"/>
      <c r="S89" s="237"/>
      <c r="T89" s="237"/>
      <c r="U89" s="237"/>
      <c r="V89" s="237"/>
      <c r="W89" s="314"/>
      <c r="X89" s="314"/>
      <c r="Y89" s="314"/>
      <c r="Z89" s="284"/>
      <c r="AA89" s="284"/>
      <c r="AB89" s="246" t="s">
        <v>158</v>
      </c>
      <c r="AC89" s="247"/>
      <c r="AD89" s="247"/>
      <c r="AE89" s="247"/>
      <c r="AF89" s="247"/>
      <c r="AG89" s="247"/>
      <c r="AH89" s="247"/>
      <c r="AI89" s="247"/>
      <c r="AJ89" s="247"/>
      <c r="AK89" s="247"/>
      <c r="AL89" s="247"/>
      <c r="AM89" s="247"/>
      <c r="AN89" s="247"/>
      <c r="AO89" s="247"/>
      <c r="AP89" s="247"/>
      <c r="AQ89" s="248">
        <f t="shared" si="19"/>
        <v>0</v>
      </c>
      <c r="AR89" s="249">
        <f t="shared" si="18"/>
        <v>0</v>
      </c>
      <c r="AW89" s="250"/>
      <c r="AX89" s="250"/>
      <c r="AY89" s="250"/>
      <c r="AZ89" s="250"/>
      <c r="BA89" s="250"/>
      <c r="BB89" s="250"/>
    </row>
    <row r="90" spans="1:54" s="7" customFormat="1" ht="14.25" customHeight="1" hidden="1" thickBot="1">
      <c r="A90" s="244"/>
      <c r="B90" s="244"/>
      <c r="C90" s="244"/>
      <c r="D90" s="244"/>
      <c r="E90" s="244"/>
      <c r="F90" s="244"/>
      <c r="G90" s="245"/>
      <c r="H90" s="232"/>
      <c r="I90" s="235"/>
      <c r="J90" s="234"/>
      <c r="K90" s="234"/>
      <c r="L90" s="282"/>
      <c r="M90" s="235"/>
      <c r="N90" s="235"/>
      <c r="O90" s="312"/>
      <c r="P90" s="313"/>
      <c r="Q90" s="237"/>
      <c r="R90" s="237"/>
      <c r="S90" s="237"/>
      <c r="T90" s="237"/>
      <c r="U90" s="237"/>
      <c r="V90" s="237"/>
      <c r="W90" s="314"/>
      <c r="X90" s="314"/>
      <c r="Y90" s="314"/>
      <c r="Z90" s="284"/>
      <c r="AA90" s="284"/>
      <c r="AB90" s="246" t="s">
        <v>159</v>
      </c>
      <c r="AC90" s="247"/>
      <c r="AD90" s="247"/>
      <c r="AE90" s="247"/>
      <c r="AF90" s="247"/>
      <c r="AG90" s="247"/>
      <c r="AH90" s="247"/>
      <c r="AI90" s="247"/>
      <c r="AJ90" s="247"/>
      <c r="AK90" s="247"/>
      <c r="AL90" s="247"/>
      <c r="AM90" s="247"/>
      <c r="AN90" s="247"/>
      <c r="AO90" s="247"/>
      <c r="AP90" s="247"/>
      <c r="AQ90" s="248">
        <f t="shared" si="19"/>
        <v>0</v>
      </c>
      <c r="AR90" s="249">
        <f t="shared" si="18"/>
        <v>0</v>
      </c>
      <c r="AW90" s="250"/>
      <c r="AX90" s="250"/>
      <c r="AY90" s="250"/>
      <c r="AZ90" s="250"/>
      <c r="BA90" s="250"/>
      <c r="BB90" s="250"/>
    </row>
    <row r="91" spans="1:54" s="7" customFormat="1" ht="4.5" customHeight="1" hidden="1" thickBot="1">
      <c r="A91" s="244"/>
      <c r="B91" s="244"/>
      <c r="C91" s="244"/>
      <c r="D91" s="244"/>
      <c r="E91" s="244"/>
      <c r="F91" s="244"/>
      <c r="G91" s="245"/>
      <c r="H91" s="232"/>
      <c r="I91" s="235"/>
      <c r="J91" s="234"/>
      <c r="K91" s="234"/>
      <c r="L91" s="282"/>
      <c r="M91" s="235"/>
      <c r="N91" s="235"/>
      <c r="O91" s="312"/>
      <c r="P91" s="313"/>
      <c r="Q91" s="237"/>
      <c r="R91" s="237"/>
      <c r="S91" s="237"/>
      <c r="T91" s="237"/>
      <c r="U91" s="237"/>
      <c r="V91" s="237"/>
      <c r="W91" s="314"/>
      <c r="X91" s="314"/>
      <c r="Y91" s="314"/>
      <c r="Z91" s="284"/>
      <c r="AA91" s="284"/>
      <c r="AB91" s="246" t="s">
        <v>160</v>
      </c>
      <c r="AC91" s="247"/>
      <c r="AD91" s="247"/>
      <c r="AE91" s="247"/>
      <c r="AF91" s="247"/>
      <c r="AG91" s="247"/>
      <c r="AH91" s="247"/>
      <c r="AI91" s="247"/>
      <c r="AJ91" s="247"/>
      <c r="AK91" s="247"/>
      <c r="AL91" s="247"/>
      <c r="AM91" s="247"/>
      <c r="AN91" s="247"/>
      <c r="AO91" s="247"/>
      <c r="AP91" s="247"/>
      <c r="AQ91" s="248">
        <f t="shared" si="19"/>
        <v>0</v>
      </c>
      <c r="AR91" s="249">
        <f t="shared" si="18"/>
        <v>0</v>
      </c>
      <c r="AW91" s="250"/>
      <c r="AX91" s="250"/>
      <c r="AY91" s="250"/>
      <c r="AZ91" s="250"/>
      <c r="BA91" s="250"/>
      <c r="BB91" s="250"/>
    </row>
    <row r="92" spans="1:54" s="7" customFormat="1" ht="14.25" customHeight="1" hidden="1" thickBot="1">
      <c r="A92" s="244"/>
      <c r="B92" s="244"/>
      <c r="C92" s="244"/>
      <c r="D92" s="244"/>
      <c r="E92" s="244"/>
      <c r="F92" s="244"/>
      <c r="G92" s="245"/>
      <c r="H92" s="232"/>
      <c r="I92" s="235"/>
      <c r="J92" s="234"/>
      <c r="K92" s="234"/>
      <c r="L92" s="282"/>
      <c r="M92" s="235"/>
      <c r="N92" s="235"/>
      <c r="O92" s="312"/>
      <c r="P92" s="313"/>
      <c r="Q92" s="237"/>
      <c r="R92" s="237"/>
      <c r="S92" s="237"/>
      <c r="T92" s="237"/>
      <c r="U92" s="237"/>
      <c r="V92" s="237"/>
      <c r="W92" s="314"/>
      <c r="X92" s="314"/>
      <c r="Y92" s="314"/>
      <c r="Z92" s="284"/>
      <c r="AA92" s="222" t="s">
        <v>192</v>
      </c>
      <c r="AB92" s="246" t="s">
        <v>161</v>
      </c>
      <c r="AC92" s="247"/>
      <c r="AD92" s="247"/>
      <c r="AE92" s="247"/>
      <c r="AF92" s="247"/>
      <c r="AG92" s="247"/>
      <c r="AH92" s="247"/>
      <c r="AI92" s="247"/>
      <c r="AJ92" s="247"/>
      <c r="AK92" s="247"/>
      <c r="AL92" s="247"/>
      <c r="AM92" s="247"/>
      <c r="AN92" s="247"/>
      <c r="AO92" s="247"/>
      <c r="AP92" s="247"/>
      <c r="AQ92" s="248">
        <f t="shared" si="19"/>
        <v>0</v>
      </c>
      <c r="AR92" s="249">
        <f t="shared" si="18"/>
        <v>0</v>
      </c>
      <c r="AW92" s="250"/>
      <c r="AX92" s="250"/>
      <c r="AY92" s="250"/>
      <c r="AZ92" s="250"/>
      <c r="BA92" s="250"/>
      <c r="BB92" s="250"/>
    </row>
    <row r="93" spans="1:54" s="7" customFormat="1" ht="14.25" customHeight="1" hidden="1" thickBot="1">
      <c r="A93" s="244"/>
      <c r="B93" s="244"/>
      <c r="C93" s="244"/>
      <c r="D93" s="244"/>
      <c r="E93" s="244"/>
      <c r="F93" s="244"/>
      <c r="G93" s="245"/>
      <c r="H93" s="232"/>
      <c r="I93" s="235"/>
      <c r="J93" s="234"/>
      <c r="K93" s="234"/>
      <c r="L93" s="282"/>
      <c r="M93" s="235"/>
      <c r="N93" s="235"/>
      <c r="O93" s="312"/>
      <c r="P93" s="313"/>
      <c r="Q93" s="237"/>
      <c r="R93" s="237"/>
      <c r="S93" s="237"/>
      <c r="T93" s="237"/>
      <c r="U93" s="237"/>
      <c r="V93" s="237"/>
      <c r="W93" s="314"/>
      <c r="X93" s="314"/>
      <c r="Y93" s="314"/>
      <c r="Z93" s="284"/>
      <c r="AA93" s="284"/>
      <c r="AB93" s="246" t="s">
        <v>162</v>
      </c>
      <c r="AC93" s="247"/>
      <c r="AD93" s="247"/>
      <c r="AE93" s="247"/>
      <c r="AF93" s="247"/>
      <c r="AG93" s="247"/>
      <c r="AH93" s="247"/>
      <c r="AI93" s="247"/>
      <c r="AJ93" s="247"/>
      <c r="AK93" s="247"/>
      <c r="AL93" s="247"/>
      <c r="AM93" s="247"/>
      <c r="AN93" s="247"/>
      <c r="AO93" s="247"/>
      <c r="AP93" s="247"/>
      <c r="AQ93" s="248">
        <f t="shared" si="19"/>
        <v>0</v>
      </c>
      <c r="AR93" s="249">
        <f t="shared" si="18"/>
        <v>0</v>
      </c>
      <c r="AW93" s="250"/>
      <c r="AX93" s="250"/>
      <c r="AY93" s="250"/>
      <c r="AZ93" s="250"/>
      <c r="BA93" s="250"/>
      <c r="BB93" s="250"/>
    </row>
    <row r="94" spans="1:54" s="7" customFormat="1" ht="14.25" customHeight="1" hidden="1" thickBot="1">
      <c r="A94" s="244"/>
      <c r="B94" s="244"/>
      <c r="C94" s="244"/>
      <c r="D94" s="244"/>
      <c r="E94" s="244"/>
      <c r="F94" s="244"/>
      <c r="G94" s="245"/>
      <c r="H94" s="232"/>
      <c r="I94" s="235"/>
      <c r="J94" s="234"/>
      <c r="K94" s="234"/>
      <c r="L94" s="282"/>
      <c r="M94" s="235"/>
      <c r="N94" s="235"/>
      <c r="O94" s="312"/>
      <c r="P94" s="313"/>
      <c r="Q94" s="237"/>
      <c r="R94" s="237"/>
      <c r="S94" s="237"/>
      <c r="T94" s="237"/>
      <c r="U94" s="237"/>
      <c r="V94" s="237"/>
      <c r="W94" s="314"/>
      <c r="X94" s="314"/>
      <c r="Y94" s="314"/>
      <c r="Z94" s="284"/>
      <c r="AA94" s="284"/>
      <c r="AB94" s="251" t="s">
        <v>163</v>
      </c>
      <c r="AC94" s="252">
        <f aca="true" t="shared" si="20" ref="AC94:AR94">SUM(AC88:AC93)+IF(AC86=0,AC87,AC86)</f>
        <v>0</v>
      </c>
      <c r="AD94" s="252">
        <f t="shared" si="20"/>
        <v>0</v>
      </c>
      <c r="AE94" s="252">
        <f t="shared" si="20"/>
        <v>0</v>
      </c>
      <c r="AF94" s="252">
        <f t="shared" si="20"/>
        <v>0</v>
      </c>
      <c r="AG94" s="252">
        <f t="shared" si="20"/>
        <v>0</v>
      </c>
      <c r="AH94" s="252">
        <f t="shared" si="20"/>
        <v>0</v>
      </c>
      <c r="AI94" s="252">
        <f t="shared" si="20"/>
        <v>0</v>
      </c>
      <c r="AJ94" s="252">
        <f t="shared" si="20"/>
        <v>0</v>
      </c>
      <c r="AK94" s="252">
        <f t="shared" si="20"/>
        <v>0</v>
      </c>
      <c r="AL94" s="252">
        <f t="shared" si="20"/>
        <v>0</v>
      </c>
      <c r="AM94" s="252">
        <f t="shared" si="20"/>
        <v>0</v>
      </c>
      <c r="AN94" s="252">
        <f t="shared" si="20"/>
        <v>0</v>
      </c>
      <c r="AO94" s="252">
        <f t="shared" si="20"/>
        <v>0</v>
      </c>
      <c r="AP94" s="252">
        <f t="shared" si="20"/>
        <v>0</v>
      </c>
      <c r="AQ94" s="252">
        <f t="shared" si="20"/>
        <v>0</v>
      </c>
      <c r="AR94" s="253">
        <f t="shared" si="20"/>
        <v>0</v>
      </c>
      <c r="AW94" s="250"/>
      <c r="AX94" s="250"/>
      <c r="AY94" s="250"/>
      <c r="AZ94" s="250"/>
      <c r="BA94" s="250"/>
      <c r="BB94" s="250"/>
    </row>
    <row r="95" spans="1:54" s="7" customFormat="1" ht="16.5" customHeight="1" hidden="1" thickBot="1">
      <c r="A95" s="244"/>
      <c r="B95" s="244"/>
      <c r="C95" s="244"/>
      <c r="D95" s="244"/>
      <c r="E95" s="244"/>
      <c r="F95" s="244"/>
      <c r="G95" s="245"/>
      <c r="H95" s="255"/>
      <c r="I95" s="258"/>
      <c r="J95" s="257"/>
      <c r="K95" s="257"/>
      <c r="L95" s="285"/>
      <c r="M95" s="258"/>
      <c r="N95" s="258"/>
      <c r="O95" s="315"/>
      <c r="P95" s="316"/>
      <c r="Q95" s="260"/>
      <c r="R95" s="260"/>
      <c r="S95" s="260"/>
      <c r="T95" s="260"/>
      <c r="U95" s="260"/>
      <c r="V95" s="260"/>
      <c r="W95" s="314"/>
      <c r="X95" s="314"/>
      <c r="Y95" s="314"/>
      <c r="Z95" s="287"/>
      <c r="AA95" s="284"/>
      <c r="AB95" s="263" t="s">
        <v>164</v>
      </c>
      <c r="AC95" s="264"/>
      <c r="AD95" s="264"/>
      <c r="AE95" s="264"/>
      <c r="AF95" s="264"/>
      <c r="AG95" s="264"/>
      <c r="AH95" s="264"/>
      <c r="AI95" s="264"/>
      <c r="AJ95" s="264"/>
      <c r="AK95" s="264"/>
      <c r="AL95" s="264"/>
      <c r="AM95" s="264"/>
      <c r="AN95" s="264"/>
      <c r="AO95" s="264"/>
      <c r="AP95" s="264"/>
      <c r="AQ95" s="265">
        <f aca="true" t="shared" si="21" ref="AQ95:AR101">+AC95+AE95+AG95+AI95+AK95+AM95+AO95</f>
        <v>0</v>
      </c>
      <c r="AR95" s="266">
        <f t="shared" si="21"/>
        <v>0</v>
      </c>
      <c r="AW95" s="250"/>
      <c r="AX95" s="250"/>
      <c r="AY95" s="250"/>
      <c r="AZ95" s="250"/>
      <c r="BA95" s="250"/>
      <c r="BB95" s="250"/>
    </row>
    <row r="96" spans="1:54" s="7" customFormat="1" ht="14.25" customHeight="1">
      <c r="A96" s="244" t="s">
        <v>193</v>
      </c>
      <c r="B96" s="244" t="s">
        <v>194</v>
      </c>
      <c r="C96" s="244" t="s">
        <v>141</v>
      </c>
      <c r="D96" s="244" t="s">
        <v>142</v>
      </c>
      <c r="E96" s="244" t="s">
        <v>167</v>
      </c>
      <c r="F96" s="244" t="s">
        <v>61</v>
      </c>
      <c r="G96" s="245">
        <v>8</v>
      </c>
      <c r="H96" s="215">
        <v>886</v>
      </c>
      <c r="I96" s="219" t="s">
        <v>46</v>
      </c>
      <c r="J96" s="218"/>
      <c r="K96" s="218" t="s">
        <v>48</v>
      </c>
      <c r="L96" s="281"/>
      <c r="M96" s="219"/>
      <c r="N96" s="219" t="s">
        <v>195</v>
      </c>
      <c r="O96" s="220">
        <v>0.15</v>
      </c>
      <c r="P96" s="310">
        <v>0.0665</v>
      </c>
      <c r="Q96" s="221">
        <f>SUMIF('Actividades inversión 886'!$B$13:$B$50,'Metas inversión 886'!$B96,'Actividades inversión 886'!M$13:M$50)</f>
        <v>274847000</v>
      </c>
      <c r="R96" s="221">
        <f>SUMIF('Actividades inversión 886'!$B$13:$B$50,'Metas inversión 886'!$B96,'Actividades inversión 886'!N$13:N$50)</f>
        <v>245368000</v>
      </c>
      <c r="S96" s="221">
        <f>SUMIF('Actividades inversión 886'!$B$13:$B$50,'Metas inversión 886'!$B96,'Actividades inversión 886'!O$13:O$50)</f>
        <v>245368000</v>
      </c>
      <c r="T96" s="221">
        <f>SUMIF('Actividades inversión 886'!$B$13:$B$50,'Metas inversión 886'!$B96,'Actividades inversión 886'!P$13:P$50)</f>
        <v>30553933</v>
      </c>
      <c r="U96" s="221">
        <f>SUMIF('Actividades inversión 886'!$B$13:$B$50,'Metas inversión 886'!$B96,'Actividades inversión 886'!Q$13:Q$50)</f>
        <v>34710467</v>
      </c>
      <c r="V96" s="221">
        <f>SUMIF('Actividades inversión 886'!$B$13:$B$50,'Metas inversión 886'!$B96,'Actividades inversión 886'!R$13:R$50)</f>
        <v>34710467</v>
      </c>
      <c r="W96" s="269" t="s">
        <v>196</v>
      </c>
      <c r="X96" s="222" t="s">
        <v>197</v>
      </c>
      <c r="Y96" s="269" t="s">
        <v>198</v>
      </c>
      <c r="Z96" s="222"/>
      <c r="AA96" s="222" t="s">
        <v>199</v>
      </c>
      <c r="AB96" s="271" t="s">
        <v>200</v>
      </c>
      <c r="AC96" s="272"/>
      <c r="AD96" s="272"/>
      <c r="AE96" s="272"/>
      <c r="AF96" s="272"/>
      <c r="AG96" s="272"/>
      <c r="AH96" s="272"/>
      <c r="AI96" s="272"/>
      <c r="AJ96" s="272"/>
      <c r="AK96" s="272"/>
      <c r="AL96" s="272"/>
      <c r="AM96" s="272"/>
      <c r="AN96" s="272"/>
      <c r="AO96" s="272"/>
      <c r="AP96" s="272"/>
      <c r="AQ96" s="273">
        <f t="shared" si="21"/>
        <v>0</v>
      </c>
      <c r="AR96" s="274">
        <f t="shared" si="21"/>
        <v>0</v>
      </c>
      <c r="AW96" s="250">
        <f>+'[1]99-METROPOLITANO'!N94</f>
        <v>274847000</v>
      </c>
      <c r="AX96" s="250">
        <f>+'[1]99-METROPOLITANO'!O94</f>
        <v>245368000</v>
      </c>
      <c r="AY96" s="250">
        <f>+'[1]99-METROPOLITANO'!P94</f>
        <v>245368000</v>
      </c>
      <c r="AZ96" s="250">
        <f>+'[1]99-METROPOLITANO'!Q94</f>
        <v>30553933</v>
      </c>
      <c r="BA96" s="250">
        <f>+'[1]99-METROPOLITANO'!R94</f>
        <v>34710467</v>
      </c>
      <c r="BB96" s="250">
        <f>+'[1]99-METROPOLITANO'!S94</f>
        <v>34710467</v>
      </c>
    </row>
    <row r="97" spans="1:54" s="7" customFormat="1" ht="14.25" customHeight="1">
      <c r="A97" s="244"/>
      <c r="B97" s="244"/>
      <c r="C97" s="244"/>
      <c r="D97" s="244"/>
      <c r="E97" s="244"/>
      <c r="F97" s="244"/>
      <c r="G97" s="245"/>
      <c r="H97" s="232"/>
      <c r="I97" s="235"/>
      <c r="J97" s="234"/>
      <c r="K97" s="234"/>
      <c r="L97" s="282"/>
      <c r="M97" s="235"/>
      <c r="N97" s="235"/>
      <c r="O97" s="236"/>
      <c r="P97" s="313"/>
      <c r="Q97" s="237"/>
      <c r="R97" s="237"/>
      <c r="S97" s="237"/>
      <c r="T97" s="237"/>
      <c r="U97" s="237"/>
      <c r="V97" s="237"/>
      <c r="W97" s="277"/>
      <c r="X97" s="238"/>
      <c r="Y97" s="277"/>
      <c r="Z97" s="238"/>
      <c r="AA97" s="238"/>
      <c r="AB97" s="254" t="s">
        <v>150</v>
      </c>
      <c r="AC97" s="247"/>
      <c r="AD97" s="247"/>
      <c r="AE97" s="247"/>
      <c r="AF97" s="247"/>
      <c r="AG97" s="247"/>
      <c r="AH97" s="247"/>
      <c r="AI97" s="247"/>
      <c r="AJ97" s="247"/>
      <c r="AK97" s="247"/>
      <c r="AL97" s="247"/>
      <c r="AM97" s="247"/>
      <c r="AN97" s="247"/>
      <c r="AO97" s="247"/>
      <c r="AP97" s="247"/>
      <c r="AQ97" s="248">
        <f t="shared" si="21"/>
        <v>0</v>
      </c>
      <c r="AR97" s="249">
        <f t="shared" si="21"/>
        <v>0</v>
      </c>
      <c r="AW97" s="250"/>
      <c r="AX97" s="250"/>
      <c r="AY97" s="250"/>
      <c r="AZ97" s="250"/>
      <c r="BA97" s="250"/>
      <c r="BB97" s="250"/>
    </row>
    <row r="98" spans="1:54" s="7" customFormat="1" ht="14.25" customHeight="1">
      <c r="A98" s="244"/>
      <c r="B98" s="244"/>
      <c r="C98" s="244"/>
      <c r="D98" s="244"/>
      <c r="E98" s="244"/>
      <c r="F98" s="244"/>
      <c r="G98" s="245"/>
      <c r="H98" s="232"/>
      <c r="I98" s="235"/>
      <c r="J98" s="234"/>
      <c r="K98" s="234"/>
      <c r="L98" s="282"/>
      <c r="M98" s="235"/>
      <c r="N98" s="235"/>
      <c r="O98" s="236"/>
      <c r="P98" s="313"/>
      <c r="Q98" s="237"/>
      <c r="R98" s="237"/>
      <c r="S98" s="237"/>
      <c r="T98" s="237"/>
      <c r="U98" s="237"/>
      <c r="V98" s="237"/>
      <c r="W98" s="277"/>
      <c r="X98" s="238"/>
      <c r="Y98" s="277"/>
      <c r="Z98" s="238"/>
      <c r="AA98" s="238"/>
      <c r="AB98" s="254" t="s">
        <v>151</v>
      </c>
      <c r="AC98" s="247"/>
      <c r="AD98" s="247"/>
      <c r="AE98" s="247"/>
      <c r="AF98" s="247"/>
      <c r="AG98" s="247"/>
      <c r="AH98" s="247"/>
      <c r="AI98" s="247"/>
      <c r="AJ98" s="247"/>
      <c r="AK98" s="247"/>
      <c r="AL98" s="247"/>
      <c r="AM98" s="247"/>
      <c r="AN98" s="247"/>
      <c r="AO98" s="247"/>
      <c r="AP98" s="247"/>
      <c r="AQ98" s="248">
        <f t="shared" si="21"/>
        <v>0</v>
      </c>
      <c r="AR98" s="249">
        <f t="shared" si="21"/>
        <v>0</v>
      </c>
      <c r="AW98" s="250"/>
      <c r="AX98" s="250"/>
      <c r="AY98" s="250"/>
      <c r="AZ98" s="250"/>
      <c r="BA98" s="250"/>
      <c r="BB98" s="250"/>
    </row>
    <row r="99" spans="1:54" s="7" customFormat="1" ht="14.25" customHeight="1">
      <c r="A99" s="244"/>
      <c r="B99" s="244"/>
      <c r="C99" s="244"/>
      <c r="D99" s="244"/>
      <c r="E99" s="244"/>
      <c r="F99" s="244"/>
      <c r="G99" s="245"/>
      <c r="H99" s="232"/>
      <c r="I99" s="235"/>
      <c r="J99" s="234"/>
      <c r="K99" s="234"/>
      <c r="L99" s="282"/>
      <c r="M99" s="235"/>
      <c r="N99" s="235"/>
      <c r="O99" s="236"/>
      <c r="P99" s="313"/>
      <c r="Q99" s="237"/>
      <c r="R99" s="237"/>
      <c r="S99" s="237"/>
      <c r="T99" s="237"/>
      <c r="U99" s="237"/>
      <c r="V99" s="237"/>
      <c r="W99" s="277"/>
      <c r="X99" s="238"/>
      <c r="Y99" s="277"/>
      <c r="Z99" s="238"/>
      <c r="AA99" s="238"/>
      <c r="AB99" s="254" t="s">
        <v>152</v>
      </c>
      <c r="AC99" s="247"/>
      <c r="AD99" s="247"/>
      <c r="AE99" s="247"/>
      <c r="AF99" s="247"/>
      <c r="AG99" s="247"/>
      <c r="AH99" s="247"/>
      <c r="AI99" s="247"/>
      <c r="AJ99" s="247"/>
      <c r="AK99" s="247"/>
      <c r="AL99" s="247"/>
      <c r="AM99" s="247"/>
      <c r="AN99" s="247"/>
      <c r="AO99" s="247"/>
      <c r="AP99" s="247"/>
      <c r="AQ99" s="248">
        <f t="shared" si="21"/>
        <v>0</v>
      </c>
      <c r="AR99" s="249">
        <f t="shared" si="21"/>
        <v>0</v>
      </c>
      <c r="AW99" s="250"/>
      <c r="AX99" s="250"/>
      <c r="AY99" s="250"/>
      <c r="AZ99" s="250"/>
      <c r="BA99" s="250"/>
      <c r="BB99" s="250"/>
    </row>
    <row r="100" spans="1:54" s="7" customFormat="1" ht="14.25" customHeight="1">
      <c r="A100" s="244"/>
      <c r="B100" s="244"/>
      <c r="C100" s="244"/>
      <c r="D100" s="244"/>
      <c r="E100" s="244"/>
      <c r="F100" s="244"/>
      <c r="G100" s="245"/>
      <c r="H100" s="232"/>
      <c r="I100" s="235"/>
      <c r="J100" s="234"/>
      <c r="K100" s="234"/>
      <c r="L100" s="282"/>
      <c r="M100" s="235"/>
      <c r="N100" s="235"/>
      <c r="O100" s="236"/>
      <c r="P100" s="313"/>
      <c r="Q100" s="237"/>
      <c r="R100" s="237"/>
      <c r="S100" s="237"/>
      <c r="T100" s="237"/>
      <c r="U100" s="237"/>
      <c r="V100" s="237"/>
      <c r="W100" s="277"/>
      <c r="X100" s="238"/>
      <c r="Y100" s="277"/>
      <c r="Z100" s="238"/>
      <c r="AA100" s="238"/>
      <c r="AB100" s="254" t="s">
        <v>153</v>
      </c>
      <c r="AC100" s="247"/>
      <c r="AD100" s="247"/>
      <c r="AE100" s="247"/>
      <c r="AF100" s="247"/>
      <c r="AG100" s="247"/>
      <c r="AH100" s="247"/>
      <c r="AI100" s="247"/>
      <c r="AJ100" s="247"/>
      <c r="AK100" s="247"/>
      <c r="AL100" s="247"/>
      <c r="AM100" s="247"/>
      <c r="AN100" s="247"/>
      <c r="AO100" s="247"/>
      <c r="AP100" s="247"/>
      <c r="AQ100" s="248">
        <f t="shared" si="21"/>
        <v>0</v>
      </c>
      <c r="AR100" s="249">
        <f t="shared" si="21"/>
        <v>0</v>
      </c>
      <c r="AW100" s="250"/>
      <c r="AX100" s="250"/>
      <c r="AY100" s="250"/>
      <c r="AZ100" s="250"/>
      <c r="BA100" s="250"/>
      <c r="BB100" s="250"/>
    </row>
    <row r="101" spans="1:54" s="7" customFormat="1" ht="9" customHeight="1" thickBot="1">
      <c r="A101" s="244"/>
      <c r="B101" s="244"/>
      <c r="C101" s="244"/>
      <c r="D101" s="244"/>
      <c r="E101" s="244"/>
      <c r="F101" s="244"/>
      <c r="G101" s="245"/>
      <c r="H101" s="232"/>
      <c r="I101" s="235"/>
      <c r="J101" s="234"/>
      <c r="K101" s="234"/>
      <c r="L101" s="282"/>
      <c r="M101" s="235"/>
      <c r="N101" s="235"/>
      <c r="O101" s="236"/>
      <c r="P101" s="313"/>
      <c r="Q101" s="237"/>
      <c r="R101" s="237"/>
      <c r="S101" s="237"/>
      <c r="T101" s="237"/>
      <c r="U101" s="237"/>
      <c r="V101" s="237"/>
      <c r="W101" s="277"/>
      <c r="X101" s="238"/>
      <c r="Y101" s="277"/>
      <c r="Z101" s="238"/>
      <c r="AA101" s="238"/>
      <c r="AB101" s="246" t="s">
        <v>154</v>
      </c>
      <c r="AC101" s="247"/>
      <c r="AD101" s="247"/>
      <c r="AE101" s="247"/>
      <c r="AF101" s="247"/>
      <c r="AG101" s="247"/>
      <c r="AH101" s="247"/>
      <c r="AI101" s="247"/>
      <c r="AJ101" s="247"/>
      <c r="AK101" s="247"/>
      <c r="AL101" s="247"/>
      <c r="AM101" s="247"/>
      <c r="AN101" s="247"/>
      <c r="AO101" s="247"/>
      <c r="AP101" s="247"/>
      <c r="AQ101" s="248">
        <f t="shared" si="21"/>
        <v>0</v>
      </c>
      <c r="AR101" s="249">
        <f t="shared" si="21"/>
        <v>0</v>
      </c>
      <c r="AW101" s="250"/>
      <c r="AX101" s="250"/>
      <c r="AY101" s="250"/>
      <c r="AZ101" s="250"/>
      <c r="BA101" s="250"/>
      <c r="BB101" s="250"/>
    </row>
    <row r="102" spans="1:54" s="7" customFormat="1" ht="5.25" customHeight="1" hidden="1" thickBot="1">
      <c r="A102" s="244"/>
      <c r="B102" s="244"/>
      <c r="C102" s="244"/>
      <c r="D102" s="244"/>
      <c r="E102" s="244"/>
      <c r="F102" s="244"/>
      <c r="G102" s="245"/>
      <c r="H102" s="232"/>
      <c r="I102" s="235"/>
      <c r="J102" s="234"/>
      <c r="K102" s="234"/>
      <c r="L102" s="282"/>
      <c r="M102" s="235"/>
      <c r="N102" s="235"/>
      <c r="O102" s="236"/>
      <c r="P102" s="313"/>
      <c r="Q102" s="237"/>
      <c r="R102" s="237"/>
      <c r="S102" s="237"/>
      <c r="T102" s="237"/>
      <c r="U102" s="237"/>
      <c r="V102" s="237"/>
      <c r="W102" s="277"/>
      <c r="X102" s="238"/>
      <c r="Y102" s="277"/>
      <c r="Z102" s="238"/>
      <c r="AA102" s="238"/>
      <c r="AB102" s="251" t="s">
        <v>155</v>
      </c>
      <c r="AC102" s="252">
        <f aca="true" t="shared" si="22" ref="AC102:AR102">SUM(AC96:AC101)</f>
        <v>0</v>
      </c>
      <c r="AD102" s="252">
        <f t="shared" si="22"/>
        <v>0</v>
      </c>
      <c r="AE102" s="252">
        <f t="shared" si="22"/>
        <v>0</v>
      </c>
      <c r="AF102" s="252">
        <f t="shared" si="22"/>
        <v>0</v>
      </c>
      <c r="AG102" s="252">
        <f t="shared" si="22"/>
        <v>0</v>
      </c>
      <c r="AH102" s="252">
        <f t="shared" si="22"/>
        <v>0</v>
      </c>
      <c r="AI102" s="252">
        <f t="shared" si="22"/>
        <v>0</v>
      </c>
      <c r="AJ102" s="252">
        <f t="shared" si="22"/>
        <v>0</v>
      </c>
      <c r="AK102" s="252">
        <f t="shared" si="22"/>
        <v>0</v>
      </c>
      <c r="AL102" s="252">
        <f t="shared" si="22"/>
        <v>0</v>
      </c>
      <c r="AM102" s="252">
        <f t="shared" si="22"/>
        <v>0</v>
      </c>
      <c r="AN102" s="252">
        <f t="shared" si="22"/>
        <v>0</v>
      </c>
      <c r="AO102" s="252">
        <f t="shared" si="22"/>
        <v>0</v>
      </c>
      <c r="AP102" s="252">
        <f t="shared" si="22"/>
        <v>0</v>
      </c>
      <c r="AQ102" s="252">
        <f t="shared" si="22"/>
        <v>0</v>
      </c>
      <c r="AR102" s="253">
        <f t="shared" si="22"/>
        <v>0</v>
      </c>
      <c r="AW102" s="250"/>
      <c r="AX102" s="250"/>
      <c r="AY102" s="250"/>
      <c r="AZ102" s="250"/>
      <c r="BA102" s="250"/>
      <c r="BB102" s="250"/>
    </row>
    <row r="103" spans="1:54" s="7" customFormat="1" ht="14.25" customHeight="1" hidden="1" thickBot="1">
      <c r="A103" s="244"/>
      <c r="B103" s="244"/>
      <c r="C103" s="244"/>
      <c r="D103" s="244"/>
      <c r="E103" s="244"/>
      <c r="F103" s="244"/>
      <c r="G103" s="245"/>
      <c r="H103" s="232"/>
      <c r="I103" s="235"/>
      <c r="J103" s="234"/>
      <c r="K103" s="234"/>
      <c r="L103" s="282"/>
      <c r="M103" s="235"/>
      <c r="N103" s="235"/>
      <c r="O103" s="236"/>
      <c r="P103" s="313"/>
      <c r="Q103" s="237"/>
      <c r="R103" s="237"/>
      <c r="S103" s="237"/>
      <c r="T103" s="237"/>
      <c r="U103" s="237"/>
      <c r="V103" s="237"/>
      <c r="W103" s="277"/>
      <c r="X103" s="238"/>
      <c r="Y103" s="277"/>
      <c r="Z103" s="238"/>
      <c r="AA103" s="238"/>
      <c r="AB103" s="254" t="s">
        <v>156</v>
      </c>
      <c r="AC103" s="247"/>
      <c r="AD103" s="247"/>
      <c r="AE103" s="247"/>
      <c r="AF103" s="247"/>
      <c r="AG103" s="247"/>
      <c r="AH103" s="247"/>
      <c r="AI103" s="247"/>
      <c r="AJ103" s="247"/>
      <c r="AK103" s="247"/>
      <c r="AL103" s="247"/>
      <c r="AM103" s="247"/>
      <c r="AN103" s="247"/>
      <c r="AO103" s="247"/>
      <c r="AP103" s="247"/>
      <c r="AQ103" s="248">
        <f>+AC103+AE103+AG103+AI103+AK103+AM103+AO103</f>
        <v>0</v>
      </c>
      <c r="AR103" s="249">
        <f aca="true" t="shared" si="23" ref="AR103:AR109">+AD103+AF103+AH103+AJ103+AL103+AN103+AP103</f>
        <v>0</v>
      </c>
      <c r="AW103" s="250"/>
      <c r="AX103" s="250"/>
      <c r="AY103" s="250"/>
      <c r="AZ103" s="250"/>
      <c r="BA103" s="250"/>
      <c r="BB103" s="250"/>
    </row>
    <row r="104" spans="1:54" s="7" customFormat="1" ht="14.25" customHeight="1" hidden="1" thickBot="1">
      <c r="A104" s="244"/>
      <c r="B104" s="244"/>
      <c r="C104" s="244"/>
      <c r="D104" s="244"/>
      <c r="E104" s="244"/>
      <c r="F104" s="244"/>
      <c r="G104" s="245"/>
      <c r="H104" s="232"/>
      <c r="I104" s="235"/>
      <c r="J104" s="234"/>
      <c r="K104" s="234"/>
      <c r="L104" s="282"/>
      <c r="M104" s="235"/>
      <c r="N104" s="235"/>
      <c r="O104" s="236"/>
      <c r="P104" s="313"/>
      <c r="Q104" s="237"/>
      <c r="R104" s="237"/>
      <c r="S104" s="237"/>
      <c r="T104" s="237"/>
      <c r="U104" s="237"/>
      <c r="V104" s="237"/>
      <c r="W104" s="277"/>
      <c r="X104" s="238"/>
      <c r="Y104" s="277"/>
      <c r="Z104" s="238"/>
      <c r="AA104" s="238"/>
      <c r="AB104" s="254" t="s">
        <v>201</v>
      </c>
      <c r="AC104" s="247"/>
      <c r="AD104" s="247"/>
      <c r="AE104" s="247"/>
      <c r="AF104" s="247"/>
      <c r="AG104" s="247"/>
      <c r="AH104" s="247"/>
      <c r="AI104" s="247"/>
      <c r="AJ104" s="247"/>
      <c r="AK104" s="247"/>
      <c r="AL104" s="247"/>
      <c r="AM104" s="247"/>
      <c r="AN104" s="247"/>
      <c r="AO104" s="247"/>
      <c r="AP104" s="247"/>
      <c r="AQ104" s="248">
        <f aca="true" t="shared" si="24" ref="AQ104:AQ109">+AC104+AE104+AG104+AI104+AK104+AM104+AO104</f>
        <v>0</v>
      </c>
      <c r="AR104" s="249">
        <f t="shared" si="23"/>
        <v>0</v>
      </c>
      <c r="AW104" s="250"/>
      <c r="AX104" s="250"/>
      <c r="AY104" s="250"/>
      <c r="AZ104" s="250"/>
      <c r="BA104" s="250"/>
      <c r="BB104" s="250"/>
    </row>
    <row r="105" spans="1:54" s="7" customFormat="1" ht="14.25" customHeight="1" hidden="1" thickBot="1">
      <c r="A105" s="244"/>
      <c r="B105" s="244"/>
      <c r="C105" s="244"/>
      <c r="D105" s="244"/>
      <c r="E105" s="244"/>
      <c r="F105" s="244"/>
      <c r="G105" s="245"/>
      <c r="H105" s="232"/>
      <c r="I105" s="235"/>
      <c r="J105" s="234"/>
      <c r="K105" s="234"/>
      <c r="L105" s="282"/>
      <c r="M105" s="235"/>
      <c r="N105" s="235"/>
      <c r="O105" s="236"/>
      <c r="P105" s="313"/>
      <c r="Q105" s="237"/>
      <c r="R105" s="237"/>
      <c r="S105" s="237"/>
      <c r="T105" s="237"/>
      <c r="U105" s="237"/>
      <c r="V105" s="237"/>
      <c r="W105" s="277"/>
      <c r="X105" s="238"/>
      <c r="Y105" s="277"/>
      <c r="Z105" s="238"/>
      <c r="AA105" s="238"/>
      <c r="AB105" s="246" t="s">
        <v>158</v>
      </c>
      <c r="AC105" s="247"/>
      <c r="AD105" s="247"/>
      <c r="AE105" s="247"/>
      <c r="AF105" s="247"/>
      <c r="AG105" s="247"/>
      <c r="AH105" s="247"/>
      <c r="AI105" s="247"/>
      <c r="AJ105" s="247"/>
      <c r="AK105" s="247"/>
      <c r="AL105" s="247"/>
      <c r="AM105" s="247"/>
      <c r="AN105" s="247"/>
      <c r="AO105" s="247"/>
      <c r="AP105" s="247"/>
      <c r="AQ105" s="248">
        <f t="shared" si="24"/>
        <v>0</v>
      </c>
      <c r="AR105" s="249">
        <f t="shared" si="23"/>
        <v>0</v>
      </c>
      <c r="AW105" s="250"/>
      <c r="AX105" s="250"/>
      <c r="AY105" s="250"/>
      <c r="AZ105" s="250"/>
      <c r="BA105" s="250"/>
      <c r="BB105" s="250"/>
    </row>
    <row r="106" spans="1:54" s="7" customFormat="1" ht="14.25" customHeight="1" hidden="1" thickBot="1">
      <c r="A106" s="244"/>
      <c r="B106" s="244"/>
      <c r="C106" s="244"/>
      <c r="D106" s="244"/>
      <c r="E106" s="244"/>
      <c r="F106" s="244"/>
      <c r="G106" s="245"/>
      <c r="H106" s="232"/>
      <c r="I106" s="235"/>
      <c r="J106" s="234"/>
      <c r="K106" s="234"/>
      <c r="L106" s="282"/>
      <c r="M106" s="235"/>
      <c r="N106" s="235"/>
      <c r="O106" s="236"/>
      <c r="P106" s="313"/>
      <c r="Q106" s="237"/>
      <c r="R106" s="237"/>
      <c r="S106" s="237"/>
      <c r="T106" s="237"/>
      <c r="U106" s="237"/>
      <c r="V106" s="237"/>
      <c r="W106" s="277"/>
      <c r="X106" s="238"/>
      <c r="Y106" s="277"/>
      <c r="Z106" s="238"/>
      <c r="AA106" s="238"/>
      <c r="AB106" s="246" t="s">
        <v>159</v>
      </c>
      <c r="AC106" s="247"/>
      <c r="AD106" s="247"/>
      <c r="AE106" s="247"/>
      <c r="AF106" s="247"/>
      <c r="AG106" s="247"/>
      <c r="AH106" s="247"/>
      <c r="AI106" s="247"/>
      <c r="AJ106" s="247"/>
      <c r="AK106" s="247"/>
      <c r="AL106" s="247"/>
      <c r="AM106" s="247"/>
      <c r="AN106" s="247"/>
      <c r="AO106" s="247"/>
      <c r="AP106" s="247"/>
      <c r="AQ106" s="248">
        <f t="shared" si="24"/>
        <v>0</v>
      </c>
      <c r="AR106" s="249">
        <f t="shared" si="23"/>
        <v>0</v>
      </c>
      <c r="AW106" s="250"/>
      <c r="AX106" s="250"/>
      <c r="AY106" s="250"/>
      <c r="AZ106" s="250"/>
      <c r="BA106" s="250"/>
      <c r="BB106" s="250"/>
    </row>
    <row r="107" spans="1:54" s="7" customFormat="1" ht="14.25" customHeight="1" hidden="1" thickBot="1">
      <c r="A107" s="244"/>
      <c r="B107" s="244"/>
      <c r="C107" s="244"/>
      <c r="D107" s="244"/>
      <c r="E107" s="244"/>
      <c r="F107" s="244"/>
      <c r="G107" s="245"/>
      <c r="H107" s="232"/>
      <c r="I107" s="235"/>
      <c r="J107" s="234"/>
      <c r="K107" s="234"/>
      <c r="L107" s="282"/>
      <c r="M107" s="235"/>
      <c r="N107" s="235"/>
      <c r="O107" s="236"/>
      <c r="P107" s="313"/>
      <c r="Q107" s="237"/>
      <c r="R107" s="237"/>
      <c r="S107" s="237"/>
      <c r="T107" s="237"/>
      <c r="U107" s="237"/>
      <c r="V107" s="237"/>
      <c r="W107" s="277"/>
      <c r="X107" s="238"/>
      <c r="Y107" s="277"/>
      <c r="Z107" s="238"/>
      <c r="AA107" s="238"/>
      <c r="AB107" s="246" t="s">
        <v>160</v>
      </c>
      <c r="AC107" s="247"/>
      <c r="AD107" s="247"/>
      <c r="AE107" s="247"/>
      <c r="AF107" s="247"/>
      <c r="AG107" s="247"/>
      <c r="AH107" s="247"/>
      <c r="AI107" s="247"/>
      <c r="AJ107" s="247"/>
      <c r="AK107" s="247"/>
      <c r="AL107" s="247"/>
      <c r="AM107" s="247"/>
      <c r="AN107" s="247"/>
      <c r="AO107" s="247"/>
      <c r="AP107" s="247"/>
      <c r="AQ107" s="248">
        <f t="shared" si="24"/>
        <v>0</v>
      </c>
      <c r="AR107" s="249">
        <f t="shared" si="23"/>
        <v>0</v>
      </c>
      <c r="AW107" s="250"/>
      <c r="AX107" s="250"/>
      <c r="AY107" s="250"/>
      <c r="AZ107" s="250"/>
      <c r="BA107" s="250"/>
      <c r="BB107" s="250"/>
    </row>
    <row r="108" spans="1:54" s="7" customFormat="1" ht="14.25" customHeight="1" hidden="1" thickBot="1">
      <c r="A108" s="244"/>
      <c r="B108" s="244"/>
      <c r="C108" s="244"/>
      <c r="D108" s="244"/>
      <c r="E108" s="244"/>
      <c r="F108" s="244"/>
      <c r="G108" s="245"/>
      <c r="H108" s="232"/>
      <c r="I108" s="235"/>
      <c r="J108" s="234"/>
      <c r="K108" s="234"/>
      <c r="L108" s="282"/>
      <c r="M108" s="235"/>
      <c r="N108" s="235"/>
      <c r="O108" s="236"/>
      <c r="P108" s="313"/>
      <c r="Q108" s="237"/>
      <c r="R108" s="237"/>
      <c r="S108" s="237"/>
      <c r="T108" s="237"/>
      <c r="U108" s="237"/>
      <c r="V108" s="237"/>
      <c r="W108" s="277"/>
      <c r="X108" s="238"/>
      <c r="Y108" s="277"/>
      <c r="Z108" s="238"/>
      <c r="AA108" s="238"/>
      <c r="AB108" s="246" t="s">
        <v>161</v>
      </c>
      <c r="AC108" s="247"/>
      <c r="AD108" s="247"/>
      <c r="AE108" s="247"/>
      <c r="AF108" s="247"/>
      <c r="AG108" s="247"/>
      <c r="AH108" s="247"/>
      <c r="AI108" s="247"/>
      <c r="AJ108" s="247"/>
      <c r="AK108" s="247"/>
      <c r="AL108" s="247"/>
      <c r="AM108" s="247"/>
      <c r="AN108" s="247"/>
      <c r="AO108" s="247"/>
      <c r="AP108" s="247"/>
      <c r="AQ108" s="248">
        <f t="shared" si="24"/>
        <v>0</v>
      </c>
      <c r="AR108" s="249">
        <f t="shared" si="23"/>
        <v>0</v>
      </c>
      <c r="AW108" s="250"/>
      <c r="AX108" s="250"/>
      <c r="AY108" s="250"/>
      <c r="AZ108" s="250"/>
      <c r="BA108" s="250"/>
      <c r="BB108" s="250"/>
    </row>
    <row r="109" spans="1:54" s="7" customFormat="1" ht="14.25" customHeight="1" hidden="1" thickBot="1">
      <c r="A109" s="244"/>
      <c r="B109" s="244"/>
      <c r="C109" s="244"/>
      <c r="D109" s="244"/>
      <c r="E109" s="244"/>
      <c r="F109" s="244"/>
      <c r="G109" s="245"/>
      <c r="H109" s="232"/>
      <c r="I109" s="235"/>
      <c r="J109" s="234"/>
      <c r="K109" s="234"/>
      <c r="L109" s="282"/>
      <c r="M109" s="235"/>
      <c r="N109" s="235"/>
      <c r="O109" s="236"/>
      <c r="P109" s="313"/>
      <c r="Q109" s="237"/>
      <c r="R109" s="237"/>
      <c r="S109" s="237"/>
      <c r="T109" s="237"/>
      <c r="U109" s="237"/>
      <c r="V109" s="237"/>
      <c r="W109" s="277"/>
      <c r="X109" s="238"/>
      <c r="Y109" s="277"/>
      <c r="Z109" s="238"/>
      <c r="AA109" s="238"/>
      <c r="AB109" s="246" t="s">
        <v>162</v>
      </c>
      <c r="AC109" s="247"/>
      <c r="AD109" s="247"/>
      <c r="AE109" s="247"/>
      <c r="AF109" s="247"/>
      <c r="AG109" s="247"/>
      <c r="AH109" s="247"/>
      <c r="AI109" s="247"/>
      <c r="AJ109" s="247"/>
      <c r="AK109" s="247"/>
      <c r="AL109" s="247"/>
      <c r="AM109" s="247"/>
      <c r="AN109" s="247"/>
      <c r="AO109" s="247"/>
      <c r="AP109" s="247"/>
      <c r="AQ109" s="248">
        <f t="shared" si="24"/>
        <v>0</v>
      </c>
      <c r="AR109" s="249">
        <f t="shared" si="23"/>
        <v>0</v>
      </c>
      <c r="AW109" s="250"/>
      <c r="AX109" s="250"/>
      <c r="AY109" s="250"/>
      <c r="AZ109" s="250"/>
      <c r="BA109" s="250"/>
      <c r="BB109" s="250"/>
    </row>
    <row r="110" spans="1:54" s="7" customFormat="1" ht="14.25" customHeight="1" hidden="1" thickBot="1">
      <c r="A110" s="244"/>
      <c r="B110" s="244"/>
      <c r="C110" s="244"/>
      <c r="D110" s="244"/>
      <c r="E110" s="244"/>
      <c r="F110" s="244"/>
      <c r="G110" s="245"/>
      <c r="H110" s="232"/>
      <c r="I110" s="235"/>
      <c r="J110" s="234"/>
      <c r="K110" s="234"/>
      <c r="L110" s="282"/>
      <c r="M110" s="235"/>
      <c r="N110" s="235"/>
      <c r="O110" s="236"/>
      <c r="P110" s="313"/>
      <c r="Q110" s="237"/>
      <c r="R110" s="237"/>
      <c r="S110" s="237"/>
      <c r="T110" s="237"/>
      <c r="U110" s="237"/>
      <c r="V110" s="237"/>
      <c r="W110" s="277"/>
      <c r="X110" s="238"/>
      <c r="Y110" s="277"/>
      <c r="Z110" s="238"/>
      <c r="AA110" s="238"/>
      <c r="AB110" s="251" t="s">
        <v>163</v>
      </c>
      <c r="AC110" s="252">
        <f aca="true" t="shared" si="25" ref="AC110:AR110">SUM(AC104:AC109)+IF(AC102=0,AC103,AC102)</f>
        <v>0</v>
      </c>
      <c r="AD110" s="252">
        <f t="shared" si="25"/>
        <v>0</v>
      </c>
      <c r="AE110" s="252">
        <f t="shared" si="25"/>
        <v>0</v>
      </c>
      <c r="AF110" s="252">
        <f t="shared" si="25"/>
        <v>0</v>
      </c>
      <c r="AG110" s="252">
        <f t="shared" si="25"/>
        <v>0</v>
      </c>
      <c r="AH110" s="252">
        <f t="shared" si="25"/>
        <v>0</v>
      </c>
      <c r="AI110" s="252">
        <f t="shared" si="25"/>
        <v>0</v>
      </c>
      <c r="AJ110" s="252">
        <f t="shared" si="25"/>
        <v>0</v>
      </c>
      <c r="AK110" s="252">
        <f t="shared" si="25"/>
        <v>0</v>
      </c>
      <c r="AL110" s="252">
        <f t="shared" si="25"/>
        <v>0</v>
      </c>
      <c r="AM110" s="252">
        <f t="shared" si="25"/>
        <v>0</v>
      </c>
      <c r="AN110" s="252">
        <f t="shared" si="25"/>
        <v>0</v>
      </c>
      <c r="AO110" s="252">
        <f t="shared" si="25"/>
        <v>0</v>
      </c>
      <c r="AP110" s="252">
        <f t="shared" si="25"/>
        <v>0</v>
      </c>
      <c r="AQ110" s="252">
        <f t="shared" si="25"/>
        <v>0</v>
      </c>
      <c r="AR110" s="253">
        <f t="shared" si="25"/>
        <v>0</v>
      </c>
      <c r="AW110" s="250"/>
      <c r="AX110" s="250"/>
      <c r="AY110" s="250"/>
      <c r="AZ110" s="250"/>
      <c r="BA110" s="250"/>
      <c r="BB110" s="250"/>
    </row>
    <row r="111" spans="1:54" s="7" customFormat="1" ht="14.25" customHeight="1" hidden="1" thickBot="1">
      <c r="A111" s="244"/>
      <c r="B111" s="244"/>
      <c r="C111" s="244"/>
      <c r="D111" s="244"/>
      <c r="E111" s="244"/>
      <c r="F111" s="244"/>
      <c r="G111" s="245"/>
      <c r="H111" s="255"/>
      <c r="I111" s="258"/>
      <c r="J111" s="257"/>
      <c r="K111" s="257"/>
      <c r="L111" s="285"/>
      <c r="M111" s="258"/>
      <c r="N111" s="258"/>
      <c r="O111" s="259"/>
      <c r="P111" s="316"/>
      <c r="Q111" s="260"/>
      <c r="R111" s="260"/>
      <c r="S111" s="260"/>
      <c r="T111" s="260"/>
      <c r="U111" s="260"/>
      <c r="V111" s="260"/>
      <c r="W111" s="280"/>
      <c r="X111" s="261"/>
      <c r="Y111" s="280"/>
      <c r="Z111" s="261"/>
      <c r="AA111" s="261"/>
      <c r="AB111" s="263" t="s">
        <v>164</v>
      </c>
      <c r="AC111" s="264"/>
      <c r="AD111" s="264"/>
      <c r="AE111" s="264"/>
      <c r="AF111" s="264"/>
      <c r="AG111" s="264"/>
      <c r="AH111" s="264"/>
      <c r="AI111" s="264"/>
      <c r="AJ111" s="264"/>
      <c r="AK111" s="264"/>
      <c r="AL111" s="264"/>
      <c r="AM111" s="264"/>
      <c r="AN111" s="264"/>
      <c r="AO111" s="264"/>
      <c r="AP111" s="264"/>
      <c r="AQ111" s="265">
        <f aca="true" t="shared" si="26" ref="AQ111:AR117">+AC111+AE111+AG111+AI111+AK111+AM111+AO111</f>
        <v>0</v>
      </c>
      <c r="AR111" s="266">
        <f t="shared" si="26"/>
        <v>0</v>
      </c>
      <c r="AW111" s="250"/>
      <c r="AX111" s="250"/>
      <c r="AY111" s="250"/>
      <c r="AZ111" s="250"/>
      <c r="BA111" s="250"/>
      <c r="BB111" s="250"/>
    </row>
    <row r="112" spans="1:54" s="7" customFormat="1" ht="14.25" customHeight="1">
      <c r="A112" s="244" t="s">
        <v>202</v>
      </c>
      <c r="B112" s="244" t="s">
        <v>203</v>
      </c>
      <c r="C112" s="244" t="s">
        <v>141</v>
      </c>
      <c r="D112" s="244" t="s">
        <v>142</v>
      </c>
      <c r="E112" s="244" t="s">
        <v>61</v>
      </c>
      <c r="F112" s="244" t="s">
        <v>143</v>
      </c>
      <c r="G112" s="245">
        <v>9</v>
      </c>
      <c r="H112" s="215">
        <v>886</v>
      </c>
      <c r="I112" s="219" t="s">
        <v>47</v>
      </c>
      <c r="J112" s="218"/>
      <c r="K112" s="218" t="s">
        <v>48</v>
      </c>
      <c r="L112" s="281"/>
      <c r="M112" s="219"/>
      <c r="N112" s="219" t="s">
        <v>204</v>
      </c>
      <c r="O112" s="220">
        <v>0.3</v>
      </c>
      <c r="P112" s="310">
        <v>0.155</v>
      </c>
      <c r="Q112" s="221">
        <f>SUMIF('Actividades inversión 886'!$B$13:$B$50,'Metas inversión 886'!$B112,'Actividades inversión 886'!M$13:M$50)</f>
        <v>448463000</v>
      </c>
      <c r="R112" s="221">
        <f>SUMIF('Actividades inversión 886'!$B$13:$B$50,'Metas inversión 886'!$B112,'Actividades inversión 886'!N$13:N$50)</f>
        <v>462348000</v>
      </c>
      <c r="S112" s="221">
        <f>SUMIF('Actividades inversión 886'!$B$13:$B$50,'Metas inversión 886'!$B112,'Actividades inversión 886'!O$13:O$50)</f>
        <v>275170000</v>
      </c>
      <c r="T112" s="221">
        <f>SUMIF('Actividades inversión 886'!$B$13:$B$50,'Metas inversión 886'!$B112,'Actividades inversión 886'!P$13:P$50)</f>
        <v>42120166</v>
      </c>
      <c r="U112" s="221">
        <f>SUMIF('Actividades inversión 886'!$B$13:$B$50,'Metas inversión 886'!$B112,'Actividades inversión 886'!Q$13:Q$50)</f>
        <v>62680400</v>
      </c>
      <c r="V112" s="221">
        <f>SUMIF('Actividades inversión 886'!$B$13:$B$50,'Metas inversión 886'!$B112,'Actividades inversión 886'!R$13:R$50)</f>
        <v>55305500</v>
      </c>
      <c r="W112" s="269" t="s">
        <v>205</v>
      </c>
      <c r="X112" s="269" t="s">
        <v>206</v>
      </c>
      <c r="Y112" s="222" t="s">
        <v>207</v>
      </c>
      <c r="Z112" s="222"/>
      <c r="AA112" s="222"/>
      <c r="AB112" s="271" t="s">
        <v>149</v>
      </c>
      <c r="AC112" s="272"/>
      <c r="AD112" s="272"/>
      <c r="AE112" s="272"/>
      <c r="AF112" s="272"/>
      <c r="AG112" s="272"/>
      <c r="AH112" s="272"/>
      <c r="AI112" s="272"/>
      <c r="AJ112" s="272"/>
      <c r="AK112" s="272"/>
      <c r="AL112" s="272"/>
      <c r="AM112" s="272"/>
      <c r="AN112" s="272"/>
      <c r="AO112" s="272"/>
      <c r="AP112" s="272"/>
      <c r="AQ112" s="273">
        <f t="shared" si="26"/>
        <v>0</v>
      </c>
      <c r="AR112" s="274">
        <f t="shared" si="26"/>
        <v>0</v>
      </c>
      <c r="AW112" s="250">
        <f>+'[1]99-METROPOLITANO'!N110</f>
        <v>448463000</v>
      </c>
      <c r="AX112" s="250">
        <f>+'[1]99-METROPOLITANO'!O110</f>
        <v>462348000</v>
      </c>
      <c r="AY112" s="250">
        <f>+'[1]99-METROPOLITANO'!P110</f>
        <v>275170000</v>
      </c>
      <c r="AZ112" s="250">
        <f>+'[1]99-METROPOLITANO'!Q110</f>
        <v>42120166</v>
      </c>
      <c r="BA112" s="250">
        <f>+'[1]99-METROPOLITANO'!R110</f>
        <v>62680400</v>
      </c>
      <c r="BB112" s="250">
        <f>+'[1]99-METROPOLITANO'!S110</f>
        <v>55305500</v>
      </c>
    </row>
    <row r="113" spans="1:54" s="7" customFormat="1" ht="14.25" customHeight="1">
      <c r="A113" s="244"/>
      <c r="B113" s="244"/>
      <c r="C113" s="244"/>
      <c r="D113" s="244"/>
      <c r="E113" s="244"/>
      <c r="F113" s="244"/>
      <c r="G113" s="245"/>
      <c r="H113" s="232"/>
      <c r="I113" s="235"/>
      <c r="J113" s="234"/>
      <c r="K113" s="234"/>
      <c r="L113" s="282"/>
      <c r="M113" s="235"/>
      <c r="N113" s="235"/>
      <c r="O113" s="236"/>
      <c r="P113" s="313"/>
      <c r="Q113" s="237"/>
      <c r="R113" s="237"/>
      <c r="S113" s="237"/>
      <c r="T113" s="237"/>
      <c r="U113" s="237"/>
      <c r="V113" s="237"/>
      <c r="W113" s="277"/>
      <c r="X113" s="317"/>
      <c r="Y113" s="284"/>
      <c r="Z113" s="284"/>
      <c r="AA113" s="284"/>
      <c r="AB113" s="254" t="s">
        <v>150</v>
      </c>
      <c r="AC113" s="247"/>
      <c r="AD113" s="247"/>
      <c r="AE113" s="247"/>
      <c r="AF113" s="247"/>
      <c r="AG113" s="247"/>
      <c r="AH113" s="247"/>
      <c r="AI113" s="247"/>
      <c r="AJ113" s="247"/>
      <c r="AK113" s="247"/>
      <c r="AL113" s="247"/>
      <c r="AM113" s="247"/>
      <c r="AN113" s="247"/>
      <c r="AO113" s="247"/>
      <c r="AP113" s="247"/>
      <c r="AQ113" s="248">
        <f t="shared" si="26"/>
        <v>0</v>
      </c>
      <c r="AR113" s="249">
        <f t="shared" si="26"/>
        <v>0</v>
      </c>
      <c r="AW113" s="250"/>
      <c r="AX113" s="250"/>
      <c r="AY113" s="250"/>
      <c r="AZ113" s="250"/>
      <c r="BA113" s="250"/>
      <c r="BB113" s="250"/>
    </row>
    <row r="114" spans="1:54" s="7" customFormat="1" ht="14.25" customHeight="1">
      <c r="A114" s="244"/>
      <c r="B114" s="244"/>
      <c r="C114" s="244"/>
      <c r="D114" s="244"/>
      <c r="E114" s="244"/>
      <c r="F114" s="244"/>
      <c r="G114" s="245"/>
      <c r="H114" s="232"/>
      <c r="I114" s="235"/>
      <c r="J114" s="234"/>
      <c r="K114" s="234"/>
      <c r="L114" s="282"/>
      <c r="M114" s="235"/>
      <c r="N114" s="235"/>
      <c r="O114" s="236"/>
      <c r="P114" s="313"/>
      <c r="Q114" s="237"/>
      <c r="R114" s="237"/>
      <c r="S114" s="237"/>
      <c r="T114" s="237"/>
      <c r="U114" s="237"/>
      <c r="V114" s="237"/>
      <c r="W114" s="277"/>
      <c r="X114" s="317"/>
      <c r="Y114" s="284"/>
      <c r="Z114" s="284"/>
      <c r="AA114" s="284"/>
      <c r="AB114" s="254" t="s">
        <v>151</v>
      </c>
      <c r="AC114" s="247"/>
      <c r="AD114" s="247"/>
      <c r="AE114" s="247"/>
      <c r="AF114" s="247"/>
      <c r="AG114" s="247"/>
      <c r="AH114" s="247"/>
      <c r="AI114" s="247"/>
      <c r="AJ114" s="247"/>
      <c r="AK114" s="247"/>
      <c r="AL114" s="247"/>
      <c r="AM114" s="247"/>
      <c r="AN114" s="247"/>
      <c r="AO114" s="247"/>
      <c r="AP114" s="247"/>
      <c r="AQ114" s="248">
        <f t="shared" si="26"/>
        <v>0</v>
      </c>
      <c r="AR114" s="249">
        <f t="shared" si="26"/>
        <v>0</v>
      </c>
      <c r="AW114" s="250"/>
      <c r="AX114" s="250"/>
      <c r="AY114" s="250"/>
      <c r="AZ114" s="250"/>
      <c r="BA114" s="250"/>
      <c r="BB114" s="250"/>
    </row>
    <row r="115" spans="1:54" s="7" customFormat="1" ht="14.25" customHeight="1">
      <c r="A115" s="244"/>
      <c r="B115" s="244"/>
      <c r="C115" s="244"/>
      <c r="D115" s="244"/>
      <c r="E115" s="244"/>
      <c r="F115" s="244"/>
      <c r="G115" s="245"/>
      <c r="H115" s="232"/>
      <c r="I115" s="235"/>
      <c r="J115" s="234"/>
      <c r="K115" s="234"/>
      <c r="L115" s="282"/>
      <c r="M115" s="235"/>
      <c r="N115" s="235"/>
      <c r="O115" s="236"/>
      <c r="P115" s="313"/>
      <c r="Q115" s="237"/>
      <c r="R115" s="237"/>
      <c r="S115" s="237"/>
      <c r="T115" s="237"/>
      <c r="U115" s="237"/>
      <c r="V115" s="237"/>
      <c r="W115" s="277"/>
      <c r="X115" s="317"/>
      <c r="Y115" s="284"/>
      <c r="Z115" s="284"/>
      <c r="AA115" s="284"/>
      <c r="AB115" s="254" t="s">
        <v>152</v>
      </c>
      <c r="AC115" s="247"/>
      <c r="AD115" s="247"/>
      <c r="AE115" s="247"/>
      <c r="AF115" s="247"/>
      <c r="AG115" s="247"/>
      <c r="AH115" s="247"/>
      <c r="AI115" s="247"/>
      <c r="AJ115" s="247"/>
      <c r="AK115" s="247"/>
      <c r="AL115" s="247"/>
      <c r="AM115" s="247"/>
      <c r="AN115" s="247"/>
      <c r="AO115" s="247"/>
      <c r="AP115" s="247"/>
      <c r="AQ115" s="248">
        <f t="shared" si="26"/>
        <v>0</v>
      </c>
      <c r="AR115" s="249">
        <f t="shared" si="26"/>
        <v>0</v>
      </c>
      <c r="AW115" s="250"/>
      <c r="AX115" s="250"/>
      <c r="AY115" s="250"/>
      <c r="AZ115" s="250"/>
      <c r="BA115" s="250"/>
      <c r="BB115" s="250"/>
    </row>
    <row r="116" spans="1:54" s="7" customFormat="1" ht="14.25" customHeight="1">
      <c r="A116" s="244"/>
      <c r="B116" s="244"/>
      <c r="C116" s="244"/>
      <c r="D116" s="244"/>
      <c r="E116" s="244"/>
      <c r="F116" s="244"/>
      <c r="G116" s="245"/>
      <c r="H116" s="232"/>
      <c r="I116" s="235"/>
      <c r="J116" s="234"/>
      <c r="K116" s="234"/>
      <c r="L116" s="282"/>
      <c r="M116" s="235"/>
      <c r="N116" s="235"/>
      <c r="O116" s="236"/>
      <c r="P116" s="313"/>
      <c r="Q116" s="237"/>
      <c r="R116" s="237"/>
      <c r="S116" s="237"/>
      <c r="T116" s="237"/>
      <c r="U116" s="237"/>
      <c r="V116" s="237"/>
      <c r="W116" s="277"/>
      <c r="X116" s="317"/>
      <c r="Y116" s="284"/>
      <c r="Z116" s="284"/>
      <c r="AA116" s="284"/>
      <c r="AB116" s="254" t="s">
        <v>153</v>
      </c>
      <c r="AC116" s="247"/>
      <c r="AD116" s="247"/>
      <c r="AE116" s="247"/>
      <c r="AF116" s="247"/>
      <c r="AG116" s="247"/>
      <c r="AH116" s="247"/>
      <c r="AI116" s="247"/>
      <c r="AJ116" s="247"/>
      <c r="AK116" s="247"/>
      <c r="AL116" s="247"/>
      <c r="AM116" s="247"/>
      <c r="AN116" s="247"/>
      <c r="AO116" s="247"/>
      <c r="AP116" s="247"/>
      <c r="AQ116" s="248">
        <f t="shared" si="26"/>
        <v>0</v>
      </c>
      <c r="AR116" s="249">
        <f t="shared" si="26"/>
        <v>0</v>
      </c>
      <c r="AW116" s="250"/>
      <c r="AX116" s="250"/>
      <c r="AY116" s="250"/>
      <c r="AZ116" s="250"/>
      <c r="BA116" s="250"/>
      <c r="BB116" s="250"/>
    </row>
    <row r="117" spans="1:54" s="7" customFormat="1" ht="3.75" customHeight="1">
      <c r="A117" s="244"/>
      <c r="B117" s="244"/>
      <c r="C117" s="244"/>
      <c r="D117" s="244"/>
      <c r="E117" s="244"/>
      <c r="F117" s="244"/>
      <c r="G117" s="245"/>
      <c r="H117" s="232"/>
      <c r="I117" s="235"/>
      <c r="J117" s="234"/>
      <c r="K117" s="234"/>
      <c r="L117" s="282"/>
      <c r="M117" s="235"/>
      <c r="N117" s="235"/>
      <c r="O117" s="236"/>
      <c r="P117" s="313"/>
      <c r="Q117" s="237"/>
      <c r="R117" s="237"/>
      <c r="S117" s="237"/>
      <c r="T117" s="237"/>
      <c r="U117" s="237"/>
      <c r="V117" s="237"/>
      <c r="W117" s="277"/>
      <c r="X117" s="317"/>
      <c r="Y117" s="284"/>
      <c r="Z117" s="284"/>
      <c r="AA117" s="284"/>
      <c r="AB117" s="246" t="s">
        <v>154</v>
      </c>
      <c r="AC117" s="247"/>
      <c r="AD117" s="247"/>
      <c r="AE117" s="247"/>
      <c r="AF117" s="247"/>
      <c r="AG117" s="247"/>
      <c r="AH117" s="247"/>
      <c r="AI117" s="247"/>
      <c r="AJ117" s="247"/>
      <c r="AK117" s="247"/>
      <c r="AL117" s="247"/>
      <c r="AM117" s="247"/>
      <c r="AN117" s="247"/>
      <c r="AO117" s="247"/>
      <c r="AP117" s="247"/>
      <c r="AQ117" s="248">
        <f t="shared" si="26"/>
        <v>0</v>
      </c>
      <c r="AR117" s="249">
        <f t="shared" si="26"/>
        <v>0</v>
      </c>
      <c r="AW117" s="250"/>
      <c r="AX117" s="250"/>
      <c r="AY117" s="250"/>
      <c r="AZ117" s="250"/>
      <c r="BA117" s="250"/>
      <c r="BB117" s="250"/>
    </row>
    <row r="118" spans="1:54" s="320" customFormat="1" ht="14.25" customHeight="1" hidden="1">
      <c r="A118" s="318"/>
      <c r="B118" s="318"/>
      <c r="C118" s="318"/>
      <c r="D118" s="318"/>
      <c r="E118" s="318"/>
      <c r="F118" s="318"/>
      <c r="G118" s="319"/>
      <c r="H118" s="232"/>
      <c r="I118" s="235"/>
      <c r="J118" s="234"/>
      <c r="K118" s="234"/>
      <c r="L118" s="282"/>
      <c r="M118" s="235"/>
      <c r="N118" s="235"/>
      <c r="O118" s="236"/>
      <c r="P118" s="313"/>
      <c r="Q118" s="237"/>
      <c r="R118" s="237"/>
      <c r="S118" s="237"/>
      <c r="T118" s="237"/>
      <c r="U118" s="237"/>
      <c r="V118" s="237"/>
      <c r="W118" s="277"/>
      <c r="X118" s="317"/>
      <c r="Y118" s="284"/>
      <c r="Z118" s="284"/>
      <c r="AA118" s="284"/>
      <c r="AB118" s="251" t="s">
        <v>155</v>
      </c>
      <c r="AC118" s="252">
        <f aca="true" t="shared" si="27" ref="AC118:AR118">SUM(AC112:AC117)</f>
        <v>0</v>
      </c>
      <c r="AD118" s="252">
        <f t="shared" si="27"/>
        <v>0</v>
      </c>
      <c r="AE118" s="252">
        <f t="shared" si="27"/>
        <v>0</v>
      </c>
      <c r="AF118" s="252">
        <f t="shared" si="27"/>
        <v>0</v>
      </c>
      <c r="AG118" s="252">
        <f t="shared" si="27"/>
        <v>0</v>
      </c>
      <c r="AH118" s="252">
        <f t="shared" si="27"/>
        <v>0</v>
      </c>
      <c r="AI118" s="252">
        <f t="shared" si="27"/>
        <v>0</v>
      </c>
      <c r="AJ118" s="252">
        <f t="shared" si="27"/>
        <v>0</v>
      </c>
      <c r="AK118" s="252">
        <f t="shared" si="27"/>
        <v>0</v>
      </c>
      <c r="AL118" s="252">
        <f t="shared" si="27"/>
        <v>0</v>
      </c>
      <c r="AM118" s="252">
        <f t="shared" si="27"/>
        <v>0</v>
      </c>
      <c r="AN118" s="252">
        <f t="shared" si="27"/>
        <v>0</v>
      </c>
      <c r="AO118" s="252">
        <f t="shared" si="27"/>
        <v>0</v>
      </c>
      <c r="AP118" s="252">
        <f t="shared" si="27"/>
        <v>0</v>
      </c>
      <c r="AQ118" s="252">
        <f t="shared" si="27"/>
        <v>0</v>
      </c>
      <c r="AR118" s="253">
        <f t="shared" si="27"/>
        <v>0</v>
      </c>
      <c r="AW118" s="321"/>
      <c r="AX118" s="321"/>
      <c r="AY118" s="321"/>
      <c r="AZ118" s="321"/>
      <c r="BA118" s="321"/>
      <c r="BB118" s="321"/>
    </row>
    <row r="119" spans="1:54" s="320" customFormat="1" ht="14.25" customHeight="1" hidden="1">
      <c r="A119" s="318"/>
      <c r="B119" s="318"/>
      <c r="C119" s="318"/>
      <c r="D119" s="318"/>
      <c r="E119" s="318"/>
      <c r="F119" s="318"/>
      <c r="G119" s="319"/>
      <c r="H119" s="232"/>
      <c r="I119" s="235"/>
      <c r="J119" s="234"/>
      <c r="K119" s="234"/>
      <c r="L119" s="282"/>
      <c r="M119" s="235"/>
      <c r="N119" s="235"/>
      <c r="O119" s="236"/>
      <c r="P119" s="313"/>
      <c r="Q119" s="237"/>
      <c r="R119" s="237"/>
      <c r="S119" s="237"/>
      <c r="T119" s="237"/>
      <c r="U119" s="237"/>
      <c r="V119" s="237"/>
      <c r="W119" s="277"/>
      <c r="X119" s="317"/>
      <c r="Y119" s="284"/>
      <c r="Z119" s="284"/>
      <c r="AA119" s="284"/>
      <c r="AB119" s="254" t="s">
        <v>156</v>
      </c>
      <c r="AC119" s="247"/>
      <c r="AD119" s="247"/>
      <c r="AE119" s="247"/>
      <c r="AF119" s="247"/>
      <c r="AG119" s="247"/>
      <c r="AH119" s="247"/>
      <c r="AI119" s="247"/>
      <c r="AJ119" s="247"/>
      <c r="AK119" s="247"/>
      <c r="AL119" s="247"/>
      <c r="AM119" s="247"/>
      <c r="AN119" s="247"/>
      <c r="AO119" s="247"/>
      <c r="AP119" s="247"/>
      <c r="AQ119" s="248">
        <f>+AC119+AE119+AG119+AI119+AK119+AM119+AO119</f>
        <v>0</v>
      </c>
      <c r="AR119" s="249">
        <f aca="true" t="shared" si="28" ref="AR119:AR125">+AD119+AF119+AH119+AJ119+AL119+AN119+AP119</f>
        <v>0</v>
      </c>
      <c r="AW119" s="321"/>
      <c r="AX119" s="321"/>
      <c r="AY119" s="321"/>
      <c r="AZ119" s="321"/>
      <c r="BA119" s="321"/>
      <c r="BB119" s="321"/>
    </row>
    <row r="120" spans="1:54" s="320" customFormat="1" ht="14.25" customHeight="1" hidden="1">
      <c r="A120" s="318"/>
      <c r="B120" s="318"/>
      <c r="C120" s="318"/>
      <c r="D120" s="318"/>
      <c r="E120" s="318"/>
      <c r="F120" s="318"/>
      <c r="G120" s="319"/>
      <c r="H120" s="232"/>
      <c r="I120" s="235"/>
      <c r="J120" s="234"/>
      <c r="K120" s="234"/>
      <c r="L120" s="282"/>
      <c r="M120" s="235"/>
      <c r="N120" s="235"/>
      <c r="O120" s="236"/>
      <c r="P120" s="313"/>
      <c r="Q120" s="237"/>
      <c r="R120" s="237"/>
      <c r="S120" s="237"/>
      <c r="T120" s="237"/>
      <c r="U120" s="237"/>
      <c r="V120" s="237"/>
      <c r="W120" s="277"/>
      <c r="X120" s="317"/>
      <c r="Y120" s="284"/>
      <c r="Z120" s="222" t="s">
        <v>208</v>
      </c>
      <c r="AA120" s="284"/>
      <c r="AB120" s="254" t="s">
        <v>157</v>
      </c>
      <c r="AC120" s="247"/>
      <c r="AD120" s="247"/>
      <c r="AE120" s="247"/>
      <c r="AF120" s="247"/>
      <c r="AG120" s="247"/>
      <c r="AH120" s="247"/>
      <c r="AI120" s="247"/>
      <c r="AJ120" s="247"/>
      <c r="AK120" s="247"/>
      <c r="AL120" s="247"/>
      <c r="AM120" s="247"/>
      <c r="AN120" s="247"/>
      <c r="AO120" s="247"/>
      <c r="AP120" s="247"/>
      <c r="AQ120" s="248">
        <f aca="true" t="shared" si="29" ref="AQ120:AQ125">+AC120+AE120+AG120+AI120+AK120+AM120+AO120</f>
        <v>0</v>
      </c>
      <c r="AR120" s="249">
        <f t="shared" si="28"/>
        <v>0</v>
      </c>
      <c r="AW120" s="321"/>
      <c r="AX120" s="321"/>
      <c r="AY120" s="321"/>
      <c r="AZ120" s="321"/>
      <c r="BA120" s="321"/>
      <c r="BB120" s="321"/>
    </row>
    <row r="121" spans="1:54" s="320" customFormat="1" ht="14.25" customHeight="1" hidden="1">
      <c r="A121" s="318"/>
      <c r="B121" s="318"/>
      <c r="C121" s="318"/>
      <c r="D121" s="318"/>
      <c r="E121" s="318"/>
      <c r="F121" s="318"/>
      <c r="G121" s="319"/>
      <c r="H121" s="232"/>
      <c r="I121" s="235"/>
      <c r="J121" s="234"/>
      <c r="K121" s="234"/>
      <c r="L121" s="282"/>
      <c r="M121" s="235"/>
      <c r="N121" s="235"/>
      <c r="O121" s="236"/>
      <c r="P121" s="313"/>
      <c r="Q121" s="237"/>
      <c r="R121" s="237"/>
      <c r="S121" s="237"/>
      <c r="T121" s="237"/>
      <c r="U121" s="237"/>
      <c r="V121" s="237"/>
      <c r="W121" s="277"/>
      <c r="X121" s="317"/>
      <c r="Y121" s="284"/>
      <c r="Z121" s="284"/>
      <c r="AA121" s="284"/>
      <c r="AB121" s="246" t="s">
        <v>158</v>
      </c>
      <c r="AC121" s="247"/>
      <c r="AD121" s="247"/>
      <c r="AE121" s="247"/>
      <c r="AF121" s="247"/>
      <c r="AG121" s="247"/>
      <c r="AH121" s="247"/>
      <c r="AI121" s="247"/>
      <c r="AJ121" s="247"/>
      <c r="AK121" s="247"/>
      <c r="AL121" s="247"/>
      <c r="AM121" s="247"/>
      <c r="AN121" s="247"/>
      <c r="AO121" s="247"/>
      <c r="AP121" s="247"/>
      <c r="AQ121" s="248">
        <f t="shared" si="29"/>
        <v>0</v>
      </c>
      <c r="AR121" s="249">
        <f t="shared" si="28"/>
        <v>0</v>
      </c>
      <c r="AW121" s="321"/>
      <c r="AX121" s="321"/>
      <c r="AY121" s="321"/>
      <c r="AZ121" s="321"/>
      <c r="BA121" s="321"/>
      <c r="BB121" s="321"/>
    </row>
    <row r="122" spans="1:54" s="320" customFormat="1" ht="14.25" customHeight="1" hidden="1">
      <c r="A122" s="318"/>
      <c r="B122" s="318"/>
      <c r="C122" s="318"/>
      <c r="D122" s="318"/>
      <c r="E122" s="318"/>
      <c r="F122" s="318"/>
      <c r="G122" s="319"/>
      <c r="H122" s="232"/>
      <c r="I122" s="235"/>
      <c r="J122" s="234"/>
      <c r="K122" s="234"/>
      <c r="L122" s="282"/>
      <c r="M122" s="235"/>
      <c r="N122" s="235"/>
      <c r="O122" s="236"/>
      <c r="P122" s="313"/>
      <c r="Q122" s="237"/>
      <c r="R122" s="237"/>
      <c r="S122" s="237"/>
      <c r="T122" s="237"/>
      <c r="U122" s="237"/>
      <c r="V122" s="237"/>
      <c r="W122" s="277"/>
      <c r="X122" s="317"/>
      <c r="Y122" s="284"/>
      <c r="Z122" s="284"/>
      <c r="AA122" s="284"/>
      <c r="AB122" s="246" t="s">
        <v>159</v>
      </c>
      <c r="AC122" s="247"/>
      <c r="AD122" s="247"/>
      <c r="AE122" s="247"/>
      <c r="AF122" s="247"/>
      <c r="AG122" s="247"/>
      <c r="AH122" s="247"/>
      <c r="AI122" s="247"/>
      <c r="AJ122" s="247"/>
      <c r="AK122" s="247"/>
      <c r="AL122" s="247"/>
      <c r="AM122" s="247"/>
      <c r="AN122" s="247"/>
      <c r="AO122" s="247"/>
      <c r="AP122" s="247"/>
      <c r="AQ122" s="248">
        <f t="shared" si="29"/>
        <v>0</v>
      </c>
      <c r="AR122" s="249">
        <f t="shared" si="28"/>
        <v>0</v>
      </c>
      <c r="AW122" s="321"/>
      <c r="AX122" s="321"/>
      <c r="AY122" s="321"/>
      <c r="AZ122" s="321"/>
      <c r="BA122" s="321"/>
      <c r="BB122" s="321"/>
    </row>
    <row r="123" spans="1:54" s="320" customFormat="1" ht="14.25" customHeight="1" hidden="1">
      <c r="A123" s="318"/>
      <c r="B123" s="318"/>
      <c r="C123" s="318"/>
      <c r="D123" s="318"/>
      <c r="E123" s="318"/>
      <c r="F123" s="318"/>
      <c r="G123" s="319"/>
      <c r="H123" s="232"/>
      <c r="I123" s="235"/>
      <c r="J123" s="234"/>
      <c r="K123" s="234"/>
      <c r="L123" s="282"/>
      <c r="M123" s="235"/>
      <c r="N123" s="235"/>
      <c r="O123" s="236"/>
      <c r="P123" s="313"/>
      <c r="Q123" s="237"/>
      <c r="R123" s="237"/>
      <c r="S123" s="237"/>
      <c r="T123" s="237"/>
      <c r="U123" s="237"/>
      <c r="V123" s="237"/>
      <c r="W123" s="277"/>
      <c r="X123" s="317"/>
      <c r="Y123" s="284"/>
      <c r="Z123" s="284"/>
      <c r="AA123" s="284"/>
      <c r="AB123" s="246" t="s">
        <v>160</v>
      </c>
      <c r="AC123" s="247"/>
      <c r="AD123" s="247"/>
      <c r="AE123" s="247"/>
      <c r="AF123" s="247"/>
      <c r="AG123" s="247"/>
      <c r="AH123" s="247"/>
      <c r="AI123" s="247"/>
      <c r="AJ123" s="247"/>
      <c r="AK123" s="247"/>
      <c r="AL123" s="247"/>
      <c r="AM123" s="247"/>
      <c r="AN123" s="247"/>
      <c r="AO123" s="247"/>
      <c r="AP123" s="247"/>
      <c r="AQ123" s="248">
        <f t="shared" si="29"/>
        <v>0</v>
      </c>
      <c r="AR123" s="249">
        <f t="shared" si="28"/>
        <v>0</v>
      </c>
      <c r="AW123" s="321"/>
      <c r="AX123" s="321"/>
      <c r="AY123" s="321"/>
      <c r="AZ123" s="321"/>
      <c r="BA123" s="321"/>
      <c r="BB123" s="321"/>
    </row>
    <row r="124" spans="1:54" s="320" customFormat="1" ht="14.25" customHeight="1" hidden="1">
      <c r="A124" s="318"/>
      <c r="B124" s="318"/>
      <c r="C124" s="318"/>
      <c r="D124" s="318"/>
      <c r="E124" s="318"/>
      <c r="F124" s="318"/>
      <c r="G124" s="319"/>
      <c r="H124" s="232"/>
      <c r="I124" s="235"/>
      <c r="J124" s="234"/>
      <c r="K124" s="234"/>
      <c r="L124" s="282"/>
      <c r="M124" s="235"/>
      <c r="N124" s="235"/>
      <c r="O124" s="236"/>
      <c r="P124" s="313"/>
      <c r="Q124" s="237"/>
      <c r="R124" s="237"/>
      <c r="S124" s="237"/>
      <c r="T124" s="237"/>
      <c r="U124" s="237"/>
      <c r="V124" s="237"/>
      <c r="W124" s="277"/>
      <c r="X124" s="317"/>
      <c r="Y124" s="284"/>
      <c r="Z124" s="284"/>
      <c r="AA124" s="284"/>
      <c r="AB124" s="246" t="s">
        <v>161</v>
      </c>
      <c r="AC124" s="247"/>
      <c r="AD124" s="247"/>
      <c r="AE124" s="247"/>
      <c r="AF124" s="247"/>
      <c r="AG124" s="247"/>
      <c r="AH124" s="247"/>
      <c r="AI124" s="247"/>
      <c r="AJ124" s="247"/>
      <c r="AK124" s="247"/>
      <c r="AL124" s="247"/>
      <c r="AM124" s="247"/>
      <c r="AN124" s="247"/>
      <c r="AO124" s="247"/>
      <c r="AP124" s="247"/>
      <c r="AQ124" s="248">
        <f t="shared" si="29"/>
        <v>0</v>
      </c>
      <c r="AR124" s="249">
        <f t="shared" si="28"/>
        <v>0</v>
      </c>
      <c r="AW124" s="321"/>
      <c r="AX124" s="321"/>
      <c r="AY124" s="321"/>
      <c r="AZ124" s="321"/>
      <c r="BA124" s="321"/>
      <c r="BB124" s="321"/>
    </row>
    <row r="125" spans="1:54" s="320" customFormat="1" ht="14.25" customHeight="1" hidden="1">
      <c r="A125" s="318"/>
      <c r="B125" s="318"/>
      <c r="C125" s="318"/>
      <c r="D125" s="318"/>
      <c r="E125" s="318"/>
      <c r="F125" s="318"/>
      <c r="G125" s="319"/>
      <c r="H125" s="232"/>
      <c r="I125" s="235"/>
      <c r="J125" s="234"/>
      <c r="K125" s="234"/>
      <c r="L125" s="282"/>
      <c r="M125" s="235"/>
      <c r="N125" s="235"/>
      <c r="O125" s="236"/>
      <c r="P125" s="313"/>
      <c r="Q125" s="237"/>
      <c r="R125" s="237"/>
      <c r="S125" s="237"/>
      <c r="T125" s="237"/>
      <c r="U125" s="237"/>
      <c r="V125" s="237"/>
      <c r="W125" s="277"/>
      <c r="X125" s="317"/>
      <c r="Y125" s="284"/>
      <c r="Z125" s="284"/>
      <c r="AA125" s="284"/>
      <c r="AB125" s="246" t="s">
        <v>162</v>
      </c>
      <c r="AC125" s="247"/>
      <c r="AD125" s="247"/>
      <c r="AE125" s="247"/>
      <c r="AF125" s="247"/>
      <c r="AG125" s="247"/>
      <c r="AH125" s="247"/>
      <c r="AI125" s="247"/>
      <c r="AJ125" s="247"/>
      <c r="AK125" s="247"/>
      <c r="AL125" s="247"/>
      <c r="AM125" s="247"/>
      <c r="AN125" s="247"/>
      <c r="AO125" s="247"/>
      <c r="AP125" s="247"/>
      <c r="AQ125" s="248">
        <f t="shared" si="29"/>
        <v>0</v>
      </c>
      <c r="AR125" s="249">
        <f t="shared" si="28"/>
        <v>0</v>
      </c>
      <c r="AW125" s="321"/>
      <c r="AX125" s="321"/>
      <c r="AY125" s="321"/>
      <c r="AZ125" s="321"/>
      <c r="BA125" s="321"/>
      <c r="BB125" s="321"/>
    </row>
    <row r="126" spans="1:54" s="320" customFormat="1" ht="14.25" customHeight="1" hidden="1">
      <c r="A126" s="318"/>
      <c r="B126" s="318"/>
      <c r="C126" s="318"/>
      <c r="D126" s="318"/>
      <c r="E126" s="318"/>
      <c r="F126" s="318"/>
      <c r="G126" s="319"/>
      <c r="H126" s="232"/>
      <c r="I126" s="235"/>
      <c r="J126" s="234"/>
      <c r="K126" s="234"/>
      <c r="L126" s="282"/>
      <c r="M126" s="235"/>
      <c r="N126" s="235"/>
      <c r="O126" s="236"/>
      <c r="P126" s="313"/>
      <c r="Q126" s="237"/>
      <c r="R126" s="237"/>
      <c r="S126" s="237"/>
      <c r="T126" s="237"/>
      <c r="U126" s="237"/>
      <c r="V126" s="237"/>
      <c r="W126" s="277"/>
      <c r="X126" s="317"/>
      <c r="Y126" s="284"/>
      <c r="Z126" s="284"/>
      <c r="AA126" s="284"/>
      <c r="AB126" s="251" t="s">
        <v>163</v>
      </c>
      <c r="AC126" s="252">
        <f aca="true" t="shared" si="30" ref="AC126:AR126">SUM(AC120:AC125)+IF(AC118=0,AC119,AC118)</f>
        <v>0</v>
      </c>
      <c r="AD126" s="252">
        <f t="shared" si="30"/>
        <v>0</v>
      </c>
      <c r="AE126" s="252">
        <f t="shared" si="30"/>
        <v>0</v>
      </c>
      <c r="AF126" s="252">
        <f t="shared" si="30"/>
        <v>0</v>
      </c>
      <c r="AG126" s="252">
        <f t="shared" si="30"/>
        <v>0</v>
      </c>
      <c r="AH126" s="252">
        <f t="shared" si="30"/>
        <v>0</v>
      </c>
      <c r="AI126" s="252">
        <f t="shared" si="30"/>
        <v>0</v>
      </c>
      <c r="AJ126" s="252">
        <f t="shared" si="30"/>
        <v>0</v>
      </c>
      <c r="AK126" s="252">
        <f t="shared" si="30"/>
        <v>0</v>
      </c>
      <c r="AL126" s="252">
        <f t="shared" si="30"/>
        <v>0</v>
      </c>
      <c r="AM126" s="252">
        <f t="shared" si="30"/>
        <v>0</v>
      </c>
      <c r="AN126" s="252">
        <f t="shared" si="30"/>
        <v>0</v>
      </c>
      <c r="AO126" s="252">
        <f t="shared" si="30"/>
        <v>0</v>
      </c>
      <c r="AP126" s="252">
        <f t="shared" si="30"/>
        <v>0</v>
      </c>
      <c r="AQ126" s="252">
        <f t="shared" si="30"/>
        <v>0</v>
      </c>
      <c r="AR126" s="253">
        <f t="shared" si="30"/>
        <v>0</v>
      </c>
      <c r="AW126" s="321"/>
      <c r="AX126" s="321"/>
      <c r="AY126" s="321"/>
      <c r="AZ126" s="321"/>
      <c r="BA126" s="321"/>
      <c r="BB126" s="321"/>
    </row>
    <row r="127" spans="1:54" s="320" customFormat="1" ht="14.25" customHeight="1" hidden="1" thickBot="1">
      <c r="A127" s="318"/>
      <c r="B127" s="318"/>
      <c r="C127" s="318"/>
      <c r="D127" s="318"/>
      <c r="E127" s="318"/>
      <c r="F127" s="318"/>
      <c r="G127" s="319"/>
      <c r="H127" s="255"/>
      <c r="I127" s="258"/>
      <c r="J127" s="257"/>
      <c r="K127" s="257"/>
      <c r="L127" s="285"/>
      <c r="M127" s="258"/>
      <c r="N127" s="258"/>
      <c r="O127" s="259"/>
      <c r="P127" s="316"/>
      <c r="Q127" s="260"/>
      <c r="R127" s="260"/>
      <c r="S127" s="260"/>
      <c r="T127" s="260"/>
      <c r="U127" s="260"/>
      <c r="V127" s="260"/>
      <c r="W127" s="280"/>
      <c r="X127" s="322"/>
      <c r="Y127" s="287"/>
      <c r="Z127" s="284"/>
      <c r="AA127" s="287"/>
      <c r="AB127" s="263" t="s">
        <v>164</v>
      </c>
      <c r="AC127" s="264"/>
      <c r="AD127" s="264"/>
      <c r="AE127" s="264"/>
      <c r="AF127" s="264"/>
      <c r="AG127" s="264"/>
      <c r="AH127" s="264"/>
      <c r="AI127" s="264"/>
      <c r="AJ127" s="264"/>
      <c r="AK127" s="264"/>
      <c r="AL127" s="264"/>
      <c r="AM127" s="264"/>
      <c r="AN127" s="264"/>
      <c r="AO127" s="264"/>
      <c r="AP127" s="264"/>
      <c r="AQ127" s="265">
        <f>+AC127+AE127+AG127+AI127+AK127+AM127+AO127</f>
        <v>0</v>
      </c>
      <c r="AR127" s="266">
        <f>+AD127+AF127+AH127+AJ127+AL127+AN127+AP127</f>
        <v>0</v>
      </c>
      <c r="AW127" s="321"/>
      <c r="AX127" s="321"/>
      <c r="AY127" s="321"/>
      <c r="AZ127" s="321"/>
      <c r="BA127" s="321"/>
      <c r="BB127" s="321"/>
    </row>
    <row r="128" spans="7:54" s="323" customFormat="1" ht="14.25" customHeight="1">
      <c r="G128" s="324"/>
      <c r="H128" s="324"/>
      <c r="I128" s="324"/>
      <c r="J128" s="324"/>
      <c r="K128" s="324"/>
      <c r="L128" s="324"/>
      <c r="M128" s="324"/>
      <c r="N128" s="324"/>
      <c r="O128" s="324"/>
      <c r="P128" s="325"/>
      <c r="Q128" s="326">
        <f aca="true" t="shared" si="31" ref="Q128:V128">SUBTOTAL(9,Q16:Q127)</f>
        <v>7894820000</v>
      </c>
      <c r="R128" s="327">
        <f t="shared" si="31"/>
        <v>7894820000</v>
      </c>
      <c r="S128" s="327">
        <f t="shared" si="31"/>
        <v>5848057920</v>
      </c>
      <c r="T128" s="327">
        <f t="shared" si="31"/>
        <v>949524737</v>
      </c>
      <c r="U128" s="327">
        <f t="shared" si="31"/>
        <v>1247933437</v>
      </c>
      <c r="V128" s="327">
        <f t="shared" si="31"/>
        <v>1079405928</v>
      </c>
      <c r="W128" s="324"/>
      <c r="X128" s="324"/>
      <c r="Y128" s="324"/>
      <c r="Z128" s="324"/>
      <c r="AA128" s="324"/>
      <c r="AB128" s="324"/>
      <c r="AC128" s="324"/>
      <c r="AD128" s="324"/>
      <c r="AE128" s="324"/>
      <c r="AF128" s="324"/>
      <c r="AG128" s="324"/>
      <c r="AH128" s="324"/>
      <c r="AI128" s="324"/>
      <c r="AJ128" s="324"/>
      <c r="AK128" s="324"/>
      <c r="AL128" s="324"/>
      <c r="AM128" s="324"/>
      <c r="AN128" s="324"/>
      <c r="AO128" s="324"/>
      <c r="AP128" s="324"/>
      <c r="AQ128" s="324"/>
      <c r="AR128" s="324"/>
      <c r="AW128" s="327">
        <f aca="true" t="shared" si="32" ref="AW128:BB128">SUM(AW16:AW127)</f>
        <v>7894820000</v>
      </c>
      <c r="AX128" s="327">
        <f t="shared" si="32"/>
        <v>7894820000</v>
      </c>
      <c r="AY128" s="327">
        <f t="shared" si="32"/>
        <v>5848057920</v>
      </c>
      <c r="AZ128" s="327">
        <f t="shared" si="32"/>
        <v>949524737</v>
      </c>
      <c r="BA128" s="327">
        <f t="shared" si="32"/>
        <v>1247933437</v>
      </c>
      <c r="BB128" s="327">
        <f t="shared" si="32"/>
        <v>1079405928</v>
      </c>
    </row>
    <row r="129" spans="17:54" ht="14.25" customHeight="1">
      <c r="Q129" s="328"/>
      <c r="R129" s="329"/>
      <c r="S129" s="329"/>
      <c r="T129" s="329"/>
      <c r="U129" s="328"/>
      <c r="V129" s="329"/>
      <c r="AB129" s="7"/>
      <c r="AC129" s="7"/>
      <c r="AD129" s="7"/>
      <c r="AE129" s="7"/>
      <c r="AF129" s="7"/>
      <c r="AG129" s="7"/>
      <c r="AH129" s="7"/>
      <c r="AI129" s="7"/>
      <c r="AJ129" s="7"/>
      <c r="AK129" s="7"/>
      <c r="AL129" s="7"/>
      <c r="AM129" s="7"/>
      <c r="AN129" s="7"/>
      <c r="AO129" s="7"/>
      <c r="AP129" s="7"/>
      <c r="AQ129" s="7"/>
      <c r="AR129" s="7"/>
      <c r="AS129" s="7"/>
      <c r="AT129" s="7"/>
      <c r="AU129" s="7"/>
      <c r="AV129" s="7"/>
      <c r="AW129" s="7"/>
      <c r="AX129" s="250"/>
      <c r="AY129" s="250"/>
      <c r="AZ129" s="250"/>
      <c r="BA129" s="250"/>
      <c r="BB129" s="250"/>
    </row>
    <row r="130" spans="17:49" ht="14.25" customHeight="1">
      <c r="Q130" s="330"/>
      <c r="R130" s="330"/>
      <c r="S130" s="330"/>
      <c r="T130" s="330"/>
      <c r="U130" s="330"/>
      <c r="V130" s="330"/>
      <c r="AB130" s="7"/>
      <c r="AC130" s="7"/>
      <c r="AD130" s="7"/>
      <c r="AE130" s="7"/>
      <c r="AF130" s="7"/>
      <c r="AG130" s="7"/>
      <c r="AH130" s="7"/>
      <c r="AI130" s="7"/>
      <c r="AJ130" s="7"/>
      <c r="AK130" s="7"/>
      <c r="AL130" s="7"/>
      <c r="AM130" s="7"/>
      <c r="AN130" s="7"/>
      <c r="AO130" s="7"/>
      <c r="AP130" s="7"/>
      <c r="AQ130" s="7"/>
      <c r="AR130" s="7"/>
      <c r="AS130" s="7"/>
      <c r="AT130" s="7"/>
      <c r="AU130" s="7"/>
      <c r="AV130" s="7"/>
      <c r="AW130" s="7"/>
    </row>
    <row r="131" spans="20:49" ht="14.25" customHeight="1">
      <c r="T131" s="331"/>
      <c r="AB131" s="7"/>
      <c r="AC131" s="7"/>
      <c r="AD131" s="7"/>
      <c r="AE131" s="7"/>
      <c r="AF131" s="7"/>
      <c r="AG131" s="7"/>
      <c r="AH131" s="7"/>
      <c r="AI131" s="7"/>
      <c r="AJ131" s="7"/>
      <c r="AK131" s="7"/>
      <c r="AL131" s="7"/>
      <c r="AM131" s="7"/>
      <c r="AN131" s="7"/>
      <c r="AO131" s="7"/>
      <c r="AP131" s="7"/>
      <c r="AQ131" s="7"/>
      <c r="AR131" s="7"/>
      <c r="AS131" s="7"/>
      <c r="AT131" s="7"/>
      <c r="AU131" s="7"/>
      <c r="AV131" s="7"/>
      <c r="AW131" s="7"/>
    </row>
    <row r="132" spans="18:49" ht="14.25" customHeight="1">
      <c r="R132" s="332"/>
      <c r="V132" s="330"/>
      <c r="AB132" s="7"/>
      <c r="AC132" s="7"/>
      <c r="AD132" s="7"/>
      <c r="AE132" s="7"/>
      <c r="AF132" s="7"/>
      <c r="AG132" s="7"/>
      <c r="AH132" s="7"/>
      <c r="AI132" s="7"/>
      <c r="AJ132" s="7"/>
      <c r="AK132" s="7"/>
      <c r="AL132" s="7"/>
      <c r="AM132" s="7"/>
      <c r="AN132" s="7"/>
      <c r="AO132" s="7"/>
      <c r="AP132" s="7"/>
      <c r="AQ132" s="7"/>
      <c r="AR132" s="7"/>
      <c r="AS132" s="7"/>
      <c r="AT132" s="7"/>
      <c r="AU132" s="7"/>
      <c r="AV132" s="7"/>
      <c r="AW132" s="7"/>
    </row>
    <row r="133" spans="28:49" ht="14.25" customHeight="1">
      <c r="AB133" s="7"/>
      <c r="AC133" s="7"/>
      <c r="AD133" s="7"/>
      <c r="AE133" s="7"/>
      <c r="AF133" s="7"/>
      <c r="AG133" s="7"/>
      <c r="AH133" s="7"/>
      <c r="AI133" s="7"/>
      <c r="AJ133" s="7"/>
      <c r="AK133" s="7"/>
      <c r="AL133" s="7"/>
      <c r="AM133" s="7"/>
      <c r="AN133" s="7"/>
      <c r="AO133" s="7"/>
      <c r="AP133" s="7"/>
      <c r="AQ133" s="7"/>
      <c r="AR133" s="7"/>
      <c r="AS133" s="7"/>
      <c r="AT133" s="7"/>
      <c r="AU133" s="7"/>
      <c r="AV133" s="7"/>
      <c r="AW133" s="7"/>
    </row>
    <row r="134" spans="18:49" ht="14.25" customHeight="1">
      <c r="R134" s="333"/>
      <c r="S134" s="334"/>
      <c r="T134" s="7"/>
      <c r="AB134" s="7"/>
      <c r="AC134" s="7"/>
      <c r="AD134" s="7"/>
      <c r="AE134" s="7"/>
      <c r="AF134" s="7"/>
      <c r="AG134" s="7"/>
      <c r="AH134" s="7"/>
      <c r="AI134" s="7"/>
      <c r="AJ134" s="7"/>
      <c r="AK134" s="7"/>
      <c r="AL134" s="7"/>
      <c r="AM134" s="7"/>
      <c r="AN134" s="7"/>
      <c r="AO134" s="7"/>
      <c r="AP134" s="7"/>
      <c r="AQ134" s="7"/>
      <c r="AR134" s="7"/>
      <c r="AS134" s="7"/>
      <c r="AT134" s="7"/>
      <c r="AU134" s="7"/>
      <c r="AV134" s="7"/>
      <c r="AW134" s="7"/>
    </row>
    <row r="135" spans="18:49" ht="14.25" customHeight="1">
      <c r="R135" s="333"/>
      <c r="S135" s="334"/>
      <c r="AB135" s="7"/>
      <c r="AC135" s="7"/>
      <c r="AD135" s="7"/>
      <c r="AE135" s="7"/>
      <c r="AF135" s="7"/>
      <c r="AG135" s="7"/>
      <c r="AH135" s="7"/>
      <c r="AI135" s="7"/>
      <c r="AJ135" s="7"/>
      <c r="AK135" s="7"/>
      <c r="AL135" s="7"/>
      <c r="AM135" s="7"/>
      <c r="AN135" s="7"/>
      <c r="AO135" s="7"/>
      <c r="AP135" s="7"/>
      <c r="AQ135" s="7"/>
      <c r="AR135" s="7"/>
      <c r="AS135" s="7"/>
      <c r="AT135" s="7"/>
      <c r="AU135" s="7"/>
      <c r="AV135" s="7"/>
      <c r="AW135" s="7"/>
    </row>
    <row r="136" spans="18:49" ht="14.25" customHeight="1">
      <c r="R136" s="333"/>
      <c r="S136" s="334"/>
      <c r="AB136" s="7"/>
      <c r="AC136" s="7"/>
      <c r="AD136" s="7"/>
      <c r="AE136" s="7"/>
      <c r="AF136" s="7"/>
      <c r="AG136" s="7"/>
      <c r="AH136" s="7"/>
      <c r="AI136" s="7"/>
      <c r="AJ136" s="7"/>
      <c r="AK136" s="7"/>
      <c r="AL136" s="7"/>
      <c r="AM136" s="7"/>
      <c r="AN136" s="7"/>
      <c r="AO136" s="7"/>
      <c r="AP136" s="7"/>
      <c r="AQ136" s="7"/>
      <c r="AR136" s="7"/>
      <c r="AS136" s="7"/>
      <c r="AT136" s="7"/>
      <c r="AU136" s="7"/>
      <c r="AV136" s="7"/>
      <c r="AW136" s="7"/>
    </row>
    <row r="137" spans="18:49" ht="14.25" customHeight="1">
      <c r="R137" s="333"/>
      <c r="S137" s="334"/>
      <c r="AB137" s="7"/>
      <c r="AC137" s="7"/>
      <c r="AD137" s="7"/>
      <c r="AE137" s="7"/>
      <c r="AF137" s="7"/>
      <c r="AG137" s="7"/>
      <c r="AH137" s="7"/>
      <c r="AI137" s="7"/>
      <c r="AJ137" s="7"/>
      <c r="AK137" s="7"/>
      <c r="AL137" s="7"/>
      <c r="AM137" s="7"/>
      <c r="AN137" s="7"/>
      <c r="AO137" s="7"/>
      <c r="AP137" s="7"/>
      <c r="AQ137" s="7"/>
      <c r="AR137" s="7"/>
      <c r="AS137" s="7"/>
      <c r="AT137" s="7"/>
      <c r="AU137" s="7"/>
      <c r="AV137" s="7"/>
      <c r="AW137" s="7"/>
    </row>
    <row r="138" spans="18:49" ht="14.25" customHeight="1">
      <c r="R138" s="333"/>
      <c r="S138" s="334"/>
      <c r="AB138" s="7"/>
      <c r="AC138" s="7"/>
      <c r="AD138" s="7"/>
      <c r="AE138" s="7"/>
      <c r="AF138" s="7"/>
      <c r="AG138" s="7"/>
      <c r="AH138" s="7"/>
      <c r="AI138" s="7"/>
      <c r="AJ138" s="7"/>
      <c r="AK138" s="7"/>
      <c r="AL138" s="7"/>
      <c r="AM138" s="7"/>
      <c r="AN138" s="7"/>
      <c r="AO138" s="7"/>
      <c r="AP138" s="7"/>
      <c r="AQ138" s="7"/>
      <c r="AR138" s="7"/>
      <c r="AS138" s="7"/>
      <c r="AT138" s="7"/>
      <c r="AU138" s="7"/>
      <c r="AV138" s="7"/>
      <c r="AW138" s="7"/>
    </row>
    <row r="139" spans="18:49" ht="14.25" customHeight="1">
      <c r="R139" s="333"/>
      <c r="S139" s="334"/>
      <c r="U139" s="332"/>
      <c r="AB139" s="7"/>
      <c r="AC139" s="7"/>
      <c r="AD139" s="7"/>
      <c r="AE139" s="7"/>
      <c r="AF139" s="7"/>
      <c r="AG139" s="7"/>
      <c r="AH139" s="7"/>
      <c r="AI139" s="7"/>
      <c r="AJ139" s="7"/>
      <c r="AK139" s="7"/>
      <c r="AL139" s="7"/>
      <c r="AM139" s="7"/>
      <c r="AN139" s="7"/>
      <c r="AO139" s="7"/>
      <c r="AP139" s="7"/>
      <c r="AQ139" s="7"/>
      <c r="AR139" s="7"/>
      <c r="AS139" s="7"/>
      <c r="AT139" s="7"/>
      <c r="AU139" s="7"/>
      <c r="AV139" s="7"/>
      <c r="AW139" s="7"/>
    </row>
    <row r="140" spans="18:49" ht="14.25" customHeight="1">
      <c r="R140" s="333"/>
      <c r="S140" s="334"/>
      <c r="U140" s="332"/>
      <c r="V140" s="335"/>
      <c r="X140" s="336"/>
      <c r="AB140" s="7"/>
      <c r="AC140" s="7"/>
      <c r="AD140" s="7"/>
      <c r="AE140" s="7"/>
      <c r="AF140" s="7"/>
      <c r="AG140" s="7"/>
      <c r="AH140" s="7"/>
      <c r="AI140" s="7"/>
      <c r="AJ140" s="7"/>
      <c r="AK140" s="7"/>
      <c r="AL140" s="7"/>
      <c r="AM140" s="7"/>
      <c r="AN140" s="7"/>
      <c r="AO140" s="7"/>
      <c r="AP140" s="7"/>
      <c r="AQ140" s="7"/>
      <c r="AR140" s="7"/>
      <c r="AS140" s="7"/>
      <c r="AT140" s="7"/>
      <c r="AU140" s="7"/>
      <c r="AV140" s="7"/>
      <c r="AW140" s="7"/>
    </row>
    <row r="141" spans="18:49" ht="14.25" customHeight="1">
      <c r="R141" s="333"/>
      <c r="U141" s="332"/>
      <c r="V141" s="335"/>
      <c r="X141" s="336"/>
      <c r="AB141" s="7"/>
      <c r="AC141" s="7"/>
      <c r="AD141" s="7"/>
      <c r="AE141" s="7"/>
      <c r="AF141" s="7"/>
      <c r="AG141" s="7"/>
      <c r="AH141" s="7"/>
      <c r="AI141" s="7"/>
      <c r="AJ141" s="7"/>
      <c r="AK141" s="7"/>
      <c r="AL141" s="7"/>
      <c r="AM141" s="7"/>
      <c r="AN141" s="7"/>
      <c r="AO141" s="7"/>
      <c r="AP141" s="7"/>
      <c r="AQ141" s="7"/>
      <c r="AR141" s="7"/>
      <c r="AS141" s="7"/>
      <c r="AT141" s="7"/>
      <c r="AU141" s="7"/>
      <c r="AV141" s="7"/>
      <c r="AW141" s="7"/>
    </row>
    <row r="142" spans="18:49" ht="14.25" customHeight="1">
      <c r="R142" s="333"/>
      <c r="U142" s="332"/>
      <c r="V142" s="335"/>
      <c r="X142" s="336"/>
      <c r="AB142" s="7"/>
      <c r="AC142" s="7"/>
      <c r="AD142" s="7"/>
      <c r="AE142" s="7"/>
      <c r="AF142" s="7"/>
      <c r="AG142" s="7"/>
      <c r="AH142" s="7"/>
      <c r="AI142" s="7"/>
      <c r="AJ142" s="7"/>
      <c r="AK142" s="7"/>
      <c r="AL142" s="7"/>
      <c r="AM142" s="7"/>
      <c r="AN142" s="7"/>
      <c r="AO142" s="7"/>
      <c r="AP142" s="7"/>
      <c r="AQ142" s="7"/>
      <c r="AR142" s="7"/>
      <c r="AS142" s="7"/>
      <c r="AT142" s="7"/>
      <c r="AU142" s="7"/>
      <c r="AV142" s="7"/>
      <c r="AW142" s="7"/>
    </row>
    <row r="143" spans="18:49" ht="14.25" customHeight="1">
      <c r="R143" s="333"/>
      <c r="U143" s="332"/>
      <c r="V143" s="335"/>
      <c r="X143" s="336"/>
      <c r="AB143" s="7"/>
      <c r="AC143" s="7"/>
      <c r="AD143" s="7"/>
      <c r="AE143" s="7"/>
      <c r="AF143" s="7"/>
      <c r="AG143" s="7"/>
      <c r="AH143" s="7"/>
      <c r="AI143" s="7"/>
      <c r="AJ143" s="7"/>
      <c r="AK143" s="7"/>
      <c r="AL143" s="7"/>
      <c r="AM143" s="7"/>
      <c r="AN143" s="7"/>
      <c r="AO143" s="7"/>
      <c r="AP143" s="7"/>
      <c r="AQ143" s="7"/>
      <c r="AR143" s="7"/>
      <c r="AS143" s="7"/>
      <c r="AT143" s="7"/>
      <c r="AU143" s="7"/>
      <c r="AV143" s="7"/>
      <c r="AW143" s="7"/>
    </row>
    <row r="144" spans="21:49" ht="14.25" customHeight="1">
      <c r="U144" s="332"/>
      <c r="V144" s="335"/>
      <c r="X144" s="336"/>
      <c r="AB144" s="7"/>
      <c r="AC144" s="7"/>
      <c r="AD144" s="7"/>
      <c r="AE144" s="7"/>
      <c r="AF144" s="7"/>
      <c r="AG144" s="7"/>
      <c r="AH144" s="7"/>
      <c r="AI144" s="7"/>
      <c r="AJ144" s="7"/>
      <c r="AK144" s="7"/>
      <c r="AL144" s="7"/>
      <c r="AM144" s="7"/>
      <c r="AN144" s="7"/>
      <c r="AO144" s="7"/>
      <c r="AP144" s="7"/>
      <c r="AQ144" s="7"/>
      <c r="AR144" s="7"/>
      <c r="AS144" s="7"/>
      <c r="AT144" s="7"/>
      <c r="AU144" s="7"/>
      <c r="AV144" s="7"/>
      <c r="AW144" s="7"/>
    </row>
    <row r="145" spans="21:49" ht="14.25" customHeight="1">
      <c r="U145" s="332"/>
      <c r="V145" s="335"/>
      <c r="X145" s="336"/>
      <c r="AB145" s="7"/>
      <c r="AC145" s="7"/>
      <c r="AD145" s="7"/>
      <c r="AE145" s="7"/>
      <c r="AF145" s="7"/>
      <c r="AG145" s="7"/>
      <c r="AH145" s="7"/>
      <c r="AI145" s="7"/>
      <c r="AJ145" s="7"/>
      <c r="AK145" s="7"/>
      <c r="AL145" s="7"/>
      <c r="AM145" s="7"/>
      <c r="AN145" s="7"/>
      <c r="AO145" s="7"/>
      <c r="AP145" s="7"/>
      <c r="AQ145" s="7"/>
      <c r="AR145" s="7"/>
      <c r="AS145" s="7"/>
      <c r="AT145" s="7"/>
      <c r="AU145" s="7"/>
      <c r="AV145" s="7"/>
      <c r="AW145" s="7"/>
    </row>
    <row r="146" spans="21:49" ht="14.25" customHeight="1">
      <c r="U146" s="332"/>
      <c r="V146" s="335"/>
      <c r="W146" s="337"/>
      <c r="X146" s="336"/>
      <c r="AB146" s="7"/>
      <c r="AC146" s="7"/>
      <c r="AD146" s="7"/>
      <c r="AE146" s="7"/>
      <c r="AF146" s="7"/>
      <c r="AG146" s="7"/>
      <c r="AH146" s="7"/>
      <c r="AI146" s="7"/>
      <c r="AJ146" s="7"/>
      <c r="AK146" s="7"/>
      <c r="AL146" s="7"/>
      <c r="AM146" s="7"/>
      <c r="AN146" s="7"/>
      <c r="AO146" s="7"/>
      <c r="AP146" s="7"/>
      <c r="AQ146" s="7"/>
      <c r="AR146" s="7"/>
      <c r="AS146" s="7"/>
      <c r="AT146" s="7"/>
      <c r="AU146" s="7"/>
      <c r="AV146" s="7"/>
      <c r="AW146" s="7"/>
    </row>
    <row r="147" spans="21:49" ht="14.25" customHeight="1">
      <c r="U147" s="332"/>
      <c r="V147" s="335"/>
      <c r="W147" s="337"/>
      <c r="X147" s="336"/>
      <c r="AB147" s="7"/>
      <c r="AC147" s="7"/>
      <c r="AD147" s="7"/>
      <c r="AE147" s="7"/>
      <c r="AF147" s="7"/>
      <c r="AG147" s="7"/>
      <c r="AH147" s="7"/>
      <c r="AI147" s="7"/>
      <c r="AJ147" s="7"/>
      <c r="AK147" s="7"/>
      <c r="AL147" s="7"/>
      <c r="AM147" s="7"/>
      <c r="AN147" s="7"/>
      <c r="AO147" s="7"/>
      <c r="AP147" s="7"/>
      <c r="AQ147" s="7"/>
      <c r="AR147" s="7"/>
      <c r="AS147" s="7"/>
      <c r="AT147" s="7"/>
      <c r="AU147" s="7"/>
      <c r="AV147" s="7"/>
      <c r="AW147" s="7"/>
    </row>
    <row r="148" spans="18:49" ht="14.25" customHeight="1">
      <c r="R148" s="332"/>
      <c r="U148" s="332"/>
      <c r="V148" s="335"/>
      <c r="W148" s="337"/>
      <c r="X148" s="336"/>
      <c r="AB148" s="7"/>
      <c r="AC148" s="7"/>
      <c r="AD148" s="7"/>
      <c r="AE148" s="7"/>
      <c r="AF148" s="7"/>
      <c r="AG148" s="7"/>
      <c r="AH148" s="7"/>
      <c r="AI148" s="7"/>
      <c r="AJ148" s="7"/>
      <c r="AK148" s="7"/>
      <c r="AL148" s="7"/>
      <c r="AM148" s="7"/>
      <c r="AN148" s="7"/>
      <c r="AO148" s="7"/>
      <c r="AP148" s="7"/>
      <c r="AQ148" s="7"/>
      <c r="AR148" s="7"/>
      <c r="AS148" s="7"/>
      <c r="AT148" s="7"/>
      <c r="AU148" s="7"/>
      <c r="AV148" s="7"/>
      <c r="AW148" s="7"/>
    </row>
    <row r="149" spans="21:49" ht="14.25" customHeight="1">
      <c r="U149" s="332"/>
      <c r="V149" s="335"/>
      <c r="W149" s="337"/>
      <c r="X149" s="336"/>
      <c r="AB149" s="7"/>
      <c r="AC149" s="7"/>
      <c r="AD149" s="7"/>
      <c r="AE149" s="7"/>
      <c r="AF149" s="7"/>
      <c r="AG149" s="7"/>
      <c r="AH149" s="7"/>
      <c r="AI149" s="7"/>
      <c r="AJ149" s="7"/>
      <c r="AK149" s="7"/>
      <c r="AL149" s="7"/>
      <c r="AM149" s="7"/>
      <c r="AN149" s="7"/>
      <c r="AO149" s="7"/>
      <c r="AP149" s="7"/>
      <c r="AQ149" s="7"/>
      <c r="AR149" s="7"/>
      <c r="AS149" s="7"/>
      <c r="AT149" s="7"/>
      <c r="AU149" s="7"/>
      <c r="AV149" s="7"/>
      <c r="AW149" s="7"/>
    </row>
    <row r="150" spans="21:49" ht="14.25" customHeight="1">
      <c r="U150" s="332"/>
      <c r="V150" s="335"/>
      <c r="W150" s="337"/>
      <c r="X150" s="336"/>
      <c r="AB150" s="7"/>
      <c r="AC150" s="7"/>
      <c r="AD150" s="7"/>
      <c r="AE150" s="7"/>
      <c r="AF150" s="7"/>
      <c r="AG150" s="7"/>
      <c r="AH150" s="7"/>
      <c r="AI150" s="7"/>
      <c r="AJ150" s="7"/>
      <c r="AK150" s="7"/>
      <c r="AL150" s="7"/>
      <c r="AM150" s="7"/>
      <c r="AN150" s="7"/>
      <c r="AO150" s="7"/>
      <c r="AP150" s="7"/>
      <c r="AQ150" s="7"/>
      <c r="AR150" s="7"/>
      <c r="AS150" s="7"/>
      <c r="AT150" s="7"/>
      <c r="AU150" s="7"/>
      <c r="AV150" s="7"/>
      <c r="AW150" s="7"/>
    </row>
    <row r="151" spans="18:49" ht="14.25" customHeight="1">
      <c r="R151" s="338"/>
      <c r="U151" s="332"/>
      <c r="V151" s="335"/>
      <c r="W151" s="337"/>
      <c r="X151" s="336"/>
      <c r="AB151" s="7"/>
      <c r="AC151" s="7"/>
      <c r="AD151" s="7"/>
      <c r="AE151" s="7"/>
      <c r="AF151" s="7"/>
      <c r="AG151" s="7"/>
      <c r="AH151" s="7"/>
      <c r="AI151" s="7"/>
      <c r="AJ151" s="7"/>
      <c r="AK151" s="7"/>
      <c r="AL151" s="7"/>
      <c r="AM151" s="7"/>
      <c r="AN151" s="7"/>
      <c r="AO151" s="7"/>
      <c r="AP151" s="7"/>
      <c r="AQ151" s="7"/>
      <c r="AR151" s="7"/>
      <c r="AS151" s="7"/>
      <c r="AT151" s="7"/>
      <c r="AU151" s="7"/>
      <c r="AV151" s="7"/>
      <c r="AW151" s="7"/>
    </row>
    <row r="152" spans="21:49" ht="14.25" customHeight="1">
      <c r="U152" s="332"/>
      <c r="V152" s="335"/>
      <c r="W152" s="337"/>
      <c r="X152" s="336"/>
      <c r="AB152" s="7"/>
      <c r="AC152" s="7"/>
      <c r="AD152" s="7"/>
      <c r="AE152" s="7"/>
      <c r="AF152" s="7"/>
      <c r="AG152" s="7"/>
      <c r="AH152" s="7"/>
      <c r="AI152" s="7"/>
      <c r="AJ152" s="7"/>
      <c r="AK152" s="7"/>
      <c r="AL152" s="7"/>
      <c r="AM152" s="7"/>
      <c r="AN152" s="7"/>
      <c r="AO152" s="7"/>
      <c r="AP152" s="7"/>
      <c r="AQ152" s="7"/>
      <c r="AR152" s="7"/>
      <c r="AS152" s="7"/>
      <c r="AT152" s="7"/>
      <c r="AU152" s="7"/>
      <c r="AV152" s="7"/>
      <c r="AW152" s="7"/>
    </row>
    <row r="153" spans="21:49" ht="14.25" customHeight="1">
      <c r="U153" s="332"/>
      <c r="V153" s="335"/>
      <c r="W153" s="337"/>
      <c r="X153" s="336"/>
      <c r="AB153" s="7"/>
      <c r="AC153" s="7"/>
      <c r="AD153" s="7"/>
      <c r="AE153" s="7"/>
      <c r="AF153" s="7"/>
      <c r="AG153" s="7"/>
      <c r="AH153" s="7"/>
      <c r="AI153" s="7"/>
      <c r="AJ153" s="7"/>
      <c r="AK153" s="7"/>
      <c r="AL153" s="7"/>
      <c r="AM153" s="7"/>
      <c r="AN153" s="7"/>
      <c r="AO153" s="7"/>
      <c r="AP153" s="7"/>
      <c r="AQ153" s="7"/>
      <c r="AR153" s="7"/>
      <c r="AS153" s="7"/>
      <c r="AT153" s="7"/>
      <c r="AU153" s="7"/>
      <c r="AV153" s="7"/>
      <c r="AW153" s="7"/>
    </row>
    <row r="154" spans="21:49" ht="14.25" customHeight="1">
      <c r="U154" s="332"/>
      <c r="V154" s="335"/>
      <c r="W154" s="337"/>
      <c r="X154" s="336"/>
      <c r="AB154" s="7"/>
      <c r="AC154" s="7"/>
      <c r="AD154" s="7"/>
      <c r="AE154" s="7"/>
      <c r="AF154" s="7"/>
      <c r="AG154" s="7"/>
      <c r="AH154" s="7"/>
      <c r="AI154" s="7"/>
      <c r="AJ154" s="7"/>
      <c r="AK154" s="7"/>
      <c r="AL154" s="7"/>
      <c r="AM154" s="7"/>
      <c r="AN154" s="7"/>
      <c r="AO154" s="7"/>
      <c r="AP154" s="7"/>
      <c r="AQ154" s="7"/>
      <c r="AR154" s="7"/>
      <c r="AS154" s="7"/>
      <c r="AT154" s="7"/>
      <c r="AU154" s="7"/>
      <c r="AV154" s="7"/>
      <c r="AW154" s="7"/>
    </row>
    <row r="155" spans="21:49" ht="14.25" customHeight="1">
      <c r="U155" s="332"/>
      <c r="V155" s="335"/>
      <c r="W155" s="337"/>
      <c r="X155" s="336"/>
      <c r="AB155" s="7"/>
      <c r="AC155" s="7"/>
      <c r="AD155" s="7"/>
      <c r="AE155" s="7"/>
      <c r="AF155" s="7"/>
      <c r="AG155" s="7"/>
      <c r="AH155" s="7"/>
      <c r="AI155" s="7"/>
      <c r="AJ155" s="7"/>
      <c r="AK155" s="7"/>
      <c r="AL155" s="7"/>
      <c r="AM155" s="7"/>
      <c r="AN155" s="7"/>
      <c r="AO155" s="7"/>
      <c r="AP155" s="7"/>
      <c r="AQ155" s="7"/>
      <c r="AR155" s="7"/>
      <c r="AS155" s="7"/>
      <c r="AT155" s="7"/>
      <c r="AU155" s="7"/>
      <c r="AV155" s="7"/>
      <c r="AW155" s="7"/>
    </row>
    <row r="156" spans="21:49" ht="14.25" customHeight="1">
      <c r="U156" s="332"/>
      <c r="V156" s="335"/>
      <c r="W156" s="337"/>
      <c r="X156" s="336"/>
      <c r="AB156" s="7"/>
      <c r="AC156" s="7"/>
      <c r="AD156" s="7"/>
      <c r="AE156" s="7"/>
      <c r="AF156" s="7"/>
      <c r="AG156" s="7"/>
      <c r="AH156" s="7"/>
      <c r="AI156" s="7"/>
      <c r="AJ156" s="7"/>
      <c r="AK156" s="7"/>
      <c r="AL156" s="7"/>
      <c r="AM156" s="7"/>
      <c r="AN156" s="7"/>
      <c r="AO156" s="7"/>
      <c r="AP156" s="7"/>
      <c r="AQ156" s="7"/>
      <c r="AR156" s="7"/>
      <c r="AS156" s="7"/>
      <c r="AT156" s="7"/>
      <c r="AU156" s="7"/>
      <c r="AV156" s="7"/>
      <c r="AW156" s="7"/>
    </row>
    <row r="157" spans="21:49" ht="14.25" customHeight="1">
      <c r="U157" s="332"/>
      <c r="V157" s="335"/>
      <c r="W157" s="337"/>
      <c r="X157" s="336"/>
      <c r="AB157" s="7"/>
      <c r="AC157" s="7"/>
      <c r="AD157" s="7"/>
      <c r="AE157" s="7"/>
      <c r="AF157" s="7"/>
      <c r="AG157" s="7"/>
      <c r="AH157" s="7"/>
      <c r="AI157" s="7"/>
      <c r="AJ157" s="7"/>
      <c r="AK157" s="7"/>
      <c r="AL157" s="7"/>
      <c r="AM157" s="7"/>
      <c r="AN157" s="7"/>
      <c r="AO157" s="7"/>
      <c r="AP157" s="7"/>
      <c r="AQ157" s="7"/>
      <c r="AR157" s="7"/>
      <c r="AS157" s="7"/>
      <c r="AT157" s="7"/>
      <c r="AU157" s="7"/>
      <c r="AV157" s="7"/>
      <c r="AW157" s="7"/>
    </row>
    <row r="158" spans="28:49" ht="14.25" customHeight="1">
      <c r="AB158" s="7"/>
      <c r="AC158" s="7"/>
      <c r="AD158" s="7"/>
      <c r="AE158" s="7"/>
      <c r="AF158" s="7"/>
      <c r="AG158" s="7"/>
      <c r="AH158" s="7"/>
      <c r="AI158" s="7"/>
      <c r="AJ158" s="7"/>
      <c r="AK158" s="7"/>
      <c r="AL158" s="7"/>
      <c r="AM158" s="7"/>
      <c r="AN158" s="7"/>
      <c r="AO158" s="7"/>
      <c r="AP158" s="7"/>
      <c r="AQ158" s="7"/>
      <c r="AR158" s="7"/>
      <c r="AS158" s="7"/>
      <c r="AT158" s="7"/>
      <c r="AU158" s="7"/>
      <c r="AV158" s="7"/>
      <c r="AW158" s="7"/>
    </row>
    <row r="159" spans="18:49" ht="14.25" customHeight="1">
      <c r="R159" s="338"/>
      <c r="U159" s="337"/>
      <c r="AB159" s="7"/>
      <c r="AC159" s="7"/>
      <c r="AD159" s="7"/>
      <c r="AE159" s="7"/>
      <c r="AF159" s="7"/>
      <c r="AG159" s="7"/>
      <c r="AH159" s="7"/>
      <c r="AI159" s="7"/>
      <c r="AJ159" s="7"/>
      <c r="AK159" s="7"/>
      <c r="AL159" s="7"/>
      <c r="AM159" s="7"/>
      <c r="AN159" s="7"/>
      <c r="AO159" s="7"/>
      <c r="AP159" s="7"/>
      <c r="AQ159" s="7"/>
      <c r="AR159" s="7"/>
      <c r="AS159" s="7"/>
      <c r="AT159" s="7"/>
      <c r="AU159" s="7"/>
      <c r="AV159" s="7"/>
      <c r="AW159" s="7"/>
    </row>
    <row r="160" spans="21:49" ht="14.25" customHeight="1">
      <c r="U160" s="337"/>
      <c r="V160" s="335"/>
      <c r="W160" s="332"/>
      <c r="AB160" s="7"/>
      <c r="AC160" s="7"/>
      <c r="AD160" s="7"/>
      <c r="AE160" s="7"/>
      <c r="AF160" s="7"/>
      <c r="AG160" s="7"/>
      <c r="AH160" s="7"/>
      <c r="AI160" s="7"/>
      <c r="AJ160" s="7"/>
      <c r="AK160" s="7"/>
      <c r="AL160" s="7"/>
      <c r="AM160" s="7"/>
      <c r="AN160" s="7"/>
      <c r="AO160" s="7"/>
      <c r="AP160" s="7"/>
      <c r="AQ160" s="7"/>
      <c r="AR160" s="7"/>
      <c r="AS160" s="7"/>
      <c r="AT160" s="7"/>
      <c r="AU160" s="7"/>
      <c r="AV160" s="7"/>
      <c r="AW160" s="7"/>
    </row>
    <row r="161" spans="21:49" ht="14.25" customHeight="1">
      <c r="U161" s="337"/>
      <c r="V161" s="335"/>
      <c r="AB161" s="7"/>
      <c r="AC161" s="7"/>
      <c r="AD161" s="7"/>
      <c r="AE161" s="7"/>
      <c r="AF161" s="7"/>
      <c r="AG161" s="7"/>
      <c r="AH161" s="7"/>
      <c r="AI161" s="7"/>
      <c r="AJ161" s="7"/>
      <c r="AK161" s="7"/>
      <c r="AL161" s="7"/>
      <c r="AM161" s="7"/>
      <c r="AN161" s="7"/>
      <c r="AO161" s="7"/>
      <c r="AP161" s="7"/>
      <c r="AQ161" s="7"/>
      <c r="AR161" s="7"/>
      <c r="AS161" s="7"/>
      <c r="AT161" s="7"/>
      <c r="AU161" s="7"/>
      <c r="AV161" s="7"/>
      <c r="AW161" s="7"/>
    </row>
    <row r="162" spans="21:49" ht="14.25" customHeight="1">
      <c r="U162" s="337"/>
      <c r="V162" s="335"/>
      <c r="AB162" s="7"/>
      <c r="AC162" s="7"/>
      <c r="AD162" s="7"/>
      <c r="AE162" s="7"/>
      <c r="AF162" s="7"/>
      <c r="AG162" s="7"/>
      <c r="AH162" s="7"/>
      <c r="AI162" s="7"/>
      <c r="AJ162" s="7"/>
      <c r="AK162" s="7"/>
      <c r="AL162" s="7"/>
      <c r="AM162" s="7"/>
      <c r="AN162" s="7"/>
      <c r="AO162" s="7"/>
      <c r="AP162" s="7"/>
      <c r="AQ162" s="7"/>
      <c r="AR162" s="7"/>
      <c r="AS162" s="7"/>
      <c r="AT162" s="7"/>
      <c r="AU162" s="7"/>
      <c r="AV162" s="7"/>
      <c r="AW162" s="7"/>
    </row>
    <row r="163" spans="21:49" ht="14.25" customHeight="1">
      <c r="U163" s="337"/>
      <c r="V163" s="335"/>
      <c r="AB163" s="7"/>
      <c r="AC163" s="7"/>
      <c r="AD163" s="7"/>
      <c r="AE163" s="7"/>
      <c r="AF163" s="7"/>
      <c r="AG163" s="7"/>
      <c r="AH163" s="7"/>
      <c r="AI163" s="7"/>
      <c r="AJ163" s="7"/>
      <c r="AK163" s="7"/>
      <c r="AL163" s="7"/>
      <c r="AM163" s="7"/>
      <c r="AN163" s="7"/>
      <c r="AO163" s="7"/>
      <c r="AP163" s="7"/>
      <c r="AQ163" s="7"/>
      <c r="AR163" s="7"/>
      <c r="AS163" s="7"/>
      <c r="AT163" s="7"/>
      <c r="AU163" s="7"/>
      <c r="AV163" s="7"/>
      <c r="AW163" s="7"/>
    </row>
    <row r="164" spans="18:49" ht="14.25" customHeight="1">
      <c r="R164" s="332"/>
      <c r="U164" s="337"/>
      <c r="V164" s="335"/>
      <c r="AB164" s="7"/>
      <c r="AC164" s="7"/>
      <c r="AD164" s="7"/>
      <c r="AE164" s="7"/>
      <c r="AF164" s="7"/>
      <c r="AG164" s="7"/>
      <c r="AH164" s="7"/>
      <c r="AI164" s="7"/>
      <c r="AJ164" s="7"/>
      <c r="AK164" s="7"/>
      <c r="AL164" s="7"/>
      <c r="AM164" s="7"/>
      <c r="AN164" s="7"/>
      <c r="AO164" s="7"/>
      <c r="AP164" s="7"/>
      <c r="AQ164" s="7"/>
      <c r="AR164" s="7"/>
      <c r="AS164" s="7"/>
      <c r="AT164" s="7"/>
      <c r="AU164" s="7"/>
      <c r="AV164" s="7"/>
      <c r="AW164" s="7"/>
    </row>
    <row r="165" spans="21:49" ht="14.25" customHeight="1">
      <c r="U165" s="337"/>
      <c r="V165" s="335"/>
      <c r="AB165" s="7"/>
      <c r="AC165" s="7"/>
      <c r="AD165" s="7"/>
      <c r="AE165" s="7"/>
      <c r="AF165" s="7"/>
      <c r="AG165" s="7"/>
      <c r="AH165" s="7"/>
      <c r="AI165" s="7"/>
      <c r="AJ165" s="7"/>
      <c r="AK165" s="7"/>
      <c r="AL165" s="7"/>
      <c r="AM165" s="7"/>
      <c r="AN165" s="7"/>
      <c r="AO165" s="7"/>
      <c r="AP165" s="7"/>
      <c r="AQ165" s="7"/>
      <c r="AR165" s="7"/>
      <c r="AS165" s="7"/>
      <c r="AT165" s="7"/>
      <c r="AU165" s="7"/>
      <c r="AV165" s="7"/>
      <c r="AW165" s="7"/>
    </row>
    <row r="166" spans="21:49" ht="14.25" customHeight="1">
      <c r="U166" s="332"/>
      <c r="V166" s="335"/>
      <c r="AB166" s="7"/>
      <c r="AC166" s="7"/>
      <c r="AD166" s="7"/>
      <c r="AE166" s="7"/>
      <c r="AF166" s="7"/>
      <c r="AG166" s="7"/>
      <c r="AH166" s="7"/>
      <c r="AI166" s="7"/>
      <c r="AJ166" s="7"/>
      <c r="AK166" s="7"/>
      <c r="AL166" s="7"/>
      <c r="AM166" s="7"/>
      <c r="AN166" s="7"/>
      <c r="AO166" s="7"/>
      <c r="AP166" s="7"/>
      <c r="AQ166" s="7"/>
      <c r="AR166" s="7"/>
      <c r="AS166" s="7"/>
      <c r="AT166" s="7"/>
      <c r="AU166" s="7"/>
      <c r="AV166" s="7"/>
      <c r="AW166" s="7"/>
    </row>
    <row r="167" spans="28:49" ht="14.25" customHeight="1">
      <c r="AB167" s="7"/>
      <c r="AC167" s="7"/>
      <c r="AD167" s="7"/>
      <c r="AE167" s="7"/>
      <c r="AF167" s="7"/>
      <c r="AG167" s="7"/>
      <c r="AH167" s="7"/>
      <c r="AI167" s="7"/>
      <c r="AJ167" s="7"/>
      <c r="AK167" s="7"/>
      <c r="AL167" s="7"/>
      <c r="AM167" s="7"/>
      <c r="AN167" s="7"/>
      <c r="AO167" s="7"/>
      <c r="AP167" s="7"/>
      <c r="AQ167" s="7"/>
      <c r="AR167" s="7"/>
      <c r="AS167" s="7"/>
      <c r="AT167" s="7"/>
      <c r="AU167" s="7"/>
      <c r="AV167" s="7"/>
      <c r="AW167" s="7"/>
    </row>
    <row r="168" spans="18:49" ht="14.25" customHeight="1">
      <c r="R168" s="338"/>
      <c r="AB168" s="7"/>
      <c r="AC168" s="7"/>
      <c r="AD168" s="7"/>
      <c r="AE168" s="7"/>
      <c r="AF168" s="7"/>
      <c r="AG168" s="7"/>
      <c r="AH168" s="7"/>
      <c r="AI168" s="7"/>
      <c r="AJ168" s="7"/>
      <c r="AK168" s="7"/>
      <c r="AL168" s="7"/>
      <c r="AM168" s="7"/>
      <c r="AN168" s="7"/>
      <c r="AO168" s="7"/>
      <c r="AP168" s="7"/>
      <c r="AQ168" s="7"/>
      <c r="AR168" s="7"/>
      <c r="AS168" s="7"/>
      <c r="AT168" s="7"/>
      <c r="AU168" s="7"/>
      <c r="AV168" s="7"/>
      <c r="AW168" s="7"/>
    </row>
    <row r="169" spans="21:49" ht="14.25" customHeight="1">
      <c r="U169" s="337"/>
      <c r="V169" s="335"/>
      <c r="AB169" s="7"/>
      <c r="AC169" s="7"/>
      <c r="AD169" s="7"/>
      <c r="AE169" s="7"/>
      <c r="AF169" s="7"/>
      <c r="AG169" s="7"/>
      <c r="AH169" s="7"/>
      <c r="AI169" s="7"/>
      <c r="AJ169" s="7"/>
      <c r="AK169" s="7"/>
      <c r="AL169" s="7"/>
      <c r="AM169" s="7"/>
      <c r="AN169" s="7"/>
      <c r="AO169" s="7"/>
      <c r="AP169" s="7"/>
      <c r="AQ169" s="7"/>
      <c r="AR169" s="7"/>
      <c r="AS169" s="7"/>
      <c r="AT169" s="7"/>
      <c r="AU169" s="7"/>
      <c r="AV169" s="7"/>
      <c r="AW169" s="7"/>
    </row>
    <row r="170" spans="21:49" ht="14.25" customHeight="1">
      <c r="U170" s="337"/>
      <c r="V170" s="335"/>
      <c r="AB170" s="7"/>
      <c r="AC170" s="7"/>
      <c r="AD170" s="7"/>
      <c r="AE170" s="7"/>
      <c r="AF170" s="7"/>
      <c r="AG170" s="7"/>
      <c r="AH170" s="7"/>
      <c r="AI170" s="7"/>
      <c r="AJ170" s="7"/>
      <c r="AK170" s="7"/>
      <c r="AL170" s="7"/>
      <c r="AM170" s="7"/>
      <c r="AN170" s="7"/>
      <c r="AO170" s="7"/>
      <c r="AP170" s="7"/>
      <c r="AQ170" s="7"/>
      <c r="AR170" s="7"/>
      <c r="AS170" s="7"/>
      <c r="AT170" s="7"/>
      <c r="AU170" s="7"/>
      <c r="AV170" s="7"/>
      <c r="AW170" s="7"/>
    </row>
    <row r="171" spans="21:49" ht="14.25" customHeight="1">
      <c r="U171" s="337"/>
      <c r="V171" s="335"/>
      <c r="AB171" s="7"/>
      <c r="AC171" s="7"/>
      <c r="AD171" s="7"/>
      <c r="AE171" s="7"/>
      <c r="AF171" s="7"/>
      <c r="AG171" s="7"/>
      <c r="AH171" s="7"/>
      <c r="AI171" s="7"/>
      <c r="AJ171" s="7"/>
      <c r="AK171" s="7"/>
      <c r="AL171" s="7"/>
      <c r="AM171" s="7"/>
      <c r="AN171" s="7"/>
      <c r="AO171" s="7"/>
      <c r="AP171" s="7"/>
      <c r="AQ171" s="7"/>
      <c r="AR171" s="7"/>
      <c r="AS171" s="7"/>
      <c r="AT171" s="7"/>
      <c r="AU171" s="7"/>
      <c r="AV171" s="7"/>
      <c r="AW171" s="7"/>
    </row>
    <row r="172" spans="21:49" ht="14.25" customHeight="1">
      <c r="U172" s="337"/>
      <c r="V172" s="335"/>
      <c r="AB172" s="7"/>
      <c r="AC172" s="7"/>
      <c r="AD172" s="7"/>
      <c r="AE172" s="7"/>
      <c r="AF172" s="7"/>
      <c r="AG172" s="7"/>
      <c r="AH172" s="7"/>
      <c r="AI172" s="7"/>
      <c r="AJ172" s="7"/>
      <c r="AK172" s="7"/>
      <c r="AL172" s="7"/>
      <c r="AM172" s="7"/>
      <c r="AN172" s="7"/>
      <c r="AO172" s="7"/>
      <c r="AP172" s="7"/>
      <c r="AQ172" s="7"/>
      <c r="AR172" s="7"/>
      <c r="AS172" s="7"/>
      <c r="AT172" s="7"/>
      <c r="AU172" s="7"/>
      <c r="AV172" s="7"/>
      <c r="AW172" s="7"/>
    </row>
    <row r="173" spans="21:49" ht="14.25" customHeight="1">
      <c r="U173" s="337"/>
      <c r="V173" s="335"/>
      <c r="AB173" s="7"/>
      <c r="AC173" s="7"/>
      <c r="AD173" s="7"/>
      <c r="AE173" s="7"/>
      <c r="AF173" s="7"/>
      <c r="AG173" s="7"/>
      <c r="AH173" s="7"/>
      <c r="AI173" s="7"/>
      <c r="AJ173" s="7"/>
      <c r="AK173" s="7"/>
      <c r="AL173" s="7"/>
      <c r="AM173" s="7"/>
      <c r="AN173" s="7"/>
      <c r="AO173" s="7"/>
      <c r="AP173" s="7"/>
      <c r="AQ173" s="7"/>
      <c r="AR173" s="7"/>
      <c r="AS173" s="7"/>
      <c r="AT173" s="7"/>
      <c r="AU173" s="7"/>
      <c r="AV173" s="7"/>
      <c r="AW173" s="7"/>
    </row>
    <row r="174" spans="21:49" ht="14.25" customHeight="1">
      <c r="U174" s="337"/>
      <c r="V174" s="335"/>
      <c r="AB174" s="7"/>
      <c r="AC174" s="7"/>
      <c r="AD174" s="7"/>
      <c r="AE174" s="7"/>
      <c r="AF174" s="7"/>
      <c r="AG174" s="7"/>
      <c r="AH174" s="7"/>
      <c r="AI174" s="7"/>
      <c r="AJ174" s="7"/>
      <c r="AK174" s="7"/>
      <c r="AL174" s="7"/>
      <c r="AM174" s="7"/>
      <c r="AN174" s="7"/>
      <c r="AO174" s="7"/>
      <c r="AP174" s="7"/>
      <c r="AQ174" s="7"/>
      <c r="AR174" s="7"/>
      <c r="AS174" s="7"/>
      <c r="AT174" s="7"/>
      <c r="AU174" s="7"/>
      <c r="AV174" s="7"/>
      <c r="AW174" s="7"/>
    </row>
    <row r="175" spans="22:49" ht="14.25" customHeight="1">
      <c r="V175" s="335"/>
      <c r="AB175" s="7"/>
      <c r="AC175" s="7"/>
      <c r="AD175" s="7"/>
      <c r="AE175" s="7"/>
      <c r="AF175" s="7"/>
      <c r="AG175" s="7"/>
      <c r="AH175" s="7"/>
      <c r="AI175" s="7"/>
      <c r="AJ175" s="7"/>
      <c r="AK175" s="7"/>
      <c r="AL175" s="7"/>
      <c r="AM175" s="7"/>
      <c r="AN175" s="7"/>
      <c r="AO175" s="7"/>
      <c r="AP175" s="7"/>
      <c r="AQ175" s="7"/>
      <c r="AR175" s="7"/>
      <c r="AS175" s="7"/>
      <c r="AT175" s="7"/>
      <c r="AU175" s="7"/>
      <c r="AV175" s="7"/>
      <c r="AW175" s="7"/>
    </row>
    <row r="176" spans="28:49" ht="14.25" customHeight="1">
      <c r="AB176" s="7"/>
      <c r="AC176" s="7"/>
      <c r="AD176" s="7"/>
      <c r="AE176" s="7"/>
      <c r="AF176" s="7"/>
      <c r="AG176" s="7"/>
      <c r="AH176" s="7"/>
      <c r="AI176" s="7"/>
      <c r="AJ176" s="7"/>
      <c r="AK176" s="7"/>
      <c r="AL176" s="7"/>
      <c r="AM176" s="7"/>
      <c r="AN176" s="7"/>
      <c r="AO176" s="7"/>
      <c r="AP176" s="7"/>
      <c r="AQ176" s="7"/>
      <c r="AR176" s="7"/>
      <c r="AS176" s="7"/>
      <c r="AT176" s="7"/>
      <c r="AU176" s="7"/>
      <c r="AV176" s="7"/>
      <c r="AW176" s="7"/>
    </row>
    <row r="177" spans="18:49" ht="14.25" customHeight="1">
      <c r="R177" s="338"/>
      <c r="AB177" s="7"/>
      <c r="AC177" s="7"/>
      <c r="AD177" s="7"/>
      <c r="AE177" s="7"/>
      <c r="AF177" s="7"/>
      <c r="AG177" s="7"/>
      <c r="AH177" s="7"/>
      <c r="AI177" s="7"/>
      <c r="AJ177" s="7"/>
      <c r="AK177" s="7"/>
      <c r="AL177" s="7"/>
      <c r="AM177" s="7"/>
      <c r="AN177" s="7"/>
      <c r="AO177" s="7"/>
      <c r="AP177" s="7"/>
      <c r="AQ177" s="7"/>
      <c r="AR177" s="7"/>
      <c r="AS177" s="7"/>
      <c r="AT177" s="7"/>
      <c r="AU177" s="7"/>
      <c r="AV177" s="7"/>
      <c r="AW177" s="7"/>
    </row>
    <row r="178" spans="21:49" ht="14.25" customHeight="1">
      <c r="U178" s="337"/>
      <c r="V178" s="335"/>
      <c r="AB178" s="7"/>
      <c r="AC178" s="7"/>
      <c r="AD178" s="7"/>
      <c r="AE178" s="7"/>
      <c r="AF178" s="7"/>
      <c r="AG178" s="7"/>
      <c r="AH178" s="7"/>
      <c r="AI178" s="7"/>
      <c r="AJ178" s="7"/>
      <c r="AK178" s="7"/>
      <c r="AL178" s="7"/>
      <c r="AM178" s="7"/>
      <c r="AN178" s="7"/>
      <c r="AO178" s="7"/>
      <c r="AP178" s="7"/>
      <c r="AQ178" s="7"/>
      <c r="AR178" s="7"/>
      <c r="AS178" s="7"/>
      <c r="AT178" s="7"/>
      <c r="AU178" s="7"/>
      <c r="AV178" s="7"/>
      <c r="AW178" s="7"/>
    </row>
    <row r="179" spans="21:49" ht="14.25" customHeight="1">
      <c r="U179" s="337"/>
      <c r="V179" s="335"/>
      <c r="AB179" s="7"/>
      <c r="AC179" s="7"/>
      <c r="AD179" s="7"/>
      <c r="AE179" s="7"/>
      <c r="AF179" s="7"/>
      <c r="AG179" s="7"/>
      <c r="AH179" s="7"/>
      <c r="AI179" s="7"/>
      <c r="AJ179" s="7"/>
      <c r="AK179" s="7"/>
      <c r="AL179" s="7"/>
      <c r="AM179" s="7"/>
      <c r="AN179" s="7"/>
      <c r="AO179" s="7"/>
      <c r="AP179" s="7"/>
      <c r="AQ179" s="7"/>
      <c r="AR179" s="7"/>
      <c r="AS179" s="7"/>
      <c r="AT179" s="7"/>
      <c r="AU179" s="7"/>
      <c r="AV179" s="7"/>
      <c r="AW179" s="7"/>
    </row>
    <row r="180" spans="21:49" ht="14.25" customHeight="1">
      <c r="U180" s="337"/>
      <c r="V180" s="335"/>
      <c r="AB180" s="7"/>
      <c r="AC180" s="7"/>
      <c r="AD180" s="7"/>
      <c r="AE180" s="7"/>
      <c r="AF180" s="7"/>
      <c r="AG180" s="7"/>
      <c r="AH180" s="7"/>
      <c r="AI180" s="7"/>
      <c r="AJ180" s="7"/>
      <c r="AK180" s="7"/>
      <c r="AL180" s="7"/>
      <c r="AM180" s="7"/>
      <c r="AN180" s="7"/>
      <c r="AO180" s="7"/>
      <c r="AP180" s="7"/>
      <c r="AQ180" s="7"/>
      <c r="AR180" s="7"/>
      <c r="AS180" s="7"/>
      <c r="AT180" s="7"/>
      <c r="AU180" s="7"/>
      <c r="AV180" s="7"/>
      <c r="AW180" s="7"/>
    </row>
    <row r="181" spans="21:49" ht="14.25" customHeight="1">
      <c r="U181" s="337"/>
      <c r="V181" s="335"/>
      <c r="AB181" s="7"/>
      <c r="AC181" s="7"/>
      <c r="AD181" s="7"/>
      <c r="AE181" s="7"/>
      <c r="AF181" s="7"/>
      <c r="AG181" s="7"/>
      <c r="AH181" s="7"/>
      <c r="AI181" s="7"/>
      <c r="AJ181" s="7"/>
      <c r="AK181" s="7"/>
      <c r="AL181" s="7"/>
      <c r="AM181" s="7"/>
      <c r="AN181" s="7"/>
      <c r="AO181" s="7"/>
      <c r="AP181" s="7"/>
      <c r="AQ181" s="7"/>
      <c r="AR181" s="7"/>
      <c r="AS181" s="7"/>
      <c r="AT181" s="7"/>
      <c r="AU181" s="7"/>
      <c r="AV181" s="7"/>
      <c r="AW181" s="7"/>
    </row>
    <row r="182" spans="21:49" ht="14.25" customHeight="1">
      <c r="U182" s="337"/>
      <c r="V182" s="335"/>
      <c r="AB182" s="7"/>
      <c r="AC182" s="7"/>
      <c r="AD182" s="7"/>
      <c r="AE182" s="7"/>
      <c r="AF182" s="7"/>
      <c r="AG182" s="7"/>
      <c r="AH182" s="7"/>
      <c r="AI182" s="7"/>
      <c r="AJ182" s="7"/>
      <c r="AK182" s="7"/>
      <c r="AL182" s="7"/>
      <c r="AM182" s="7"/>
      <c r="AN182" s="7"/>
      <c r="AO182" s="7"/>
      <c r="AP182" s="7"/>
      <c r="AQ182" s="7"/>
      <c r="AR182" s="7"/>
      <c r="AS182" s="7"/>
      <c r="AT182" s="7"/>
      <c r="AU182" s="7"/>
      <c r="AV182" s="7"/>
      <c r="AW182" s="7"/>
    </row>
    <row r="183" spans="21:49" ht="14.25" customHeight="1">
      <c r="U183" s="337"/>
      <c r="V183" s="335"/>
      <c r="AB183" s="7"/>
      <c r="AC183" s="7"/>
      <c r="AD183" s="7"/>
      <c r="AE183" s="7"/>
      <c r="AF183" s="7"/>
      <c r="AG183" s="7"/>
      <c r="AH183" s="7"/>
      <c r="AI183" s="7"/>
      <c r="AJ183" s="7"/>
      <c r="AK183" s="7"/>
      <c r="AL183" s="7"/>
      <c r="AM183" s="7"/>
      <c r="AN183" s="7"/>
      <c r="AO183" s="7"/>
      <c r="AP183" s="7"/>
      <c r="AQ183" s="7"/>
      <c r="AR183" s="7"/>
      <c r="AS183" s="7"/>
      <c r="AT183" s="7"/>
      <c r="AU183" s="7"/>
      <c r="AV183" s="7"/>
      <c r="AW183" s="7"/>
    </row>
    <row r="184" spans="21:49" ht="14.25" customHeight="1">
      <c r="U184" s="332"/>
      <c r="V184" s="335"/>
      <c r="AB184" s="7"/>
      <c r="AC184" s="7"/>
      <c r="AD184" s="7"/>
      <c r="AE184" s="7"/>
      <c r="AF184" s="7"/>
      <c r="AG184" s="7"/>
      <c r="AH184" s="7"/>
      <c r="AI184" s="7"/>
      <c r="AJ184" s="7"/>
      <c r="AK184" s="7"/>
      <c r="AL184" s="7"/>
      <c r="AM184" s="7"/>
      <c r="AN184" s="7"/>
      <c r="AO184" s="7"/>
      <c r="AP184" s="7"/>
      <c r="AQ184" s="7"/>
      <c r="AR184" s="7"/>
      <c r="AS184" s="7"/>
      <c r="AT184" s="7"/>
      <c r="AU184" s="7"/>
      <c r="AV184" s="7"/>
      <c r="AW184" s="7"/>
    </row>
    <row r="185" spans="28:49" ht="14.25" customHeight="1">
      <c r="AB185" s="7"/>
      <c r="AC185" s="7"/>
      <c r="AD185" s="7"/>
      <c r="AE185" s="7"/>
      <c r="AF185" s="7"/>
      <c r="AG185" s="7"/>
      <c r="AH185" s="7"/>
      <c r="AI185" s="7"/>
      <c r="AJ185" s="7"/>
      <c r="AK185" s="7"/>
      <c r="AL185" s="7"/>
      <c r="AM185" s="7"/>
      <c r="AN185" s="7"/>
      <c r="AO185" s="7"/>
      <c r="AP185" s="7"/>
      <c r="AQ185" s="7"/>
      <c r="AR185" s="7"/>
      <c r="AS185" s="7"/>
      <c r="AT185" s="7"/>
      <c r="AU185" s="7"/>
      <c r="AV185" s="7"/>
      <c r="AW185" s="7"/>
    </row>
    <row r="186" spans="18:49" ht="14.25" customHeight="1">
      <c r="R186" s="338"/>
      <c r="U186" s="337"/>
      <c r="AB186" s="7"/>
      <c r="AC186" s="7"/>
      <c r="AD186" s="7"/>
      <c r="AE186" s="7"/>
      <c r="AF186" s="7"/>
      <c r="AG186" s="7"/>
      <c r="AH186" s="7"/>
      <c r="AI186" s="7"/>
      <c r="AJ186" s="7"/>
      <c r="AK186" s="7"/>
      <c r="AL186" s="7"/>
      <c r="AM186" s="7"/>
      <c r="AN186" s="7"/>
      <c r="AO186" s="7"/>
      <c r="AP186" s="7"/>
      <c r="AQ186" s="7"/>
      <c r="AR186" s="7"/>
      <c r="AS186" s="7"/>
      <c r="AT186" s="7"/>
      <c r="AU186" s="7"/>
      <c r="AV186" s="7"/>
      <c r="AW186" s="7"/>
    </row>
    <row r="187" spans="21:49" ht="14.25" customHeight="1">
      <c r="U187" s="337"/>
      <c r="V187" s="335"/>
      <c r="AB187" s="7"/>
      <c r="AC187" s="7"/>
      <c r="AD187" s="7"/>
      <c r="AE187" s="7"/>
      <c r="AF187" s="7"/>
      <c r="AG187" s="7"/>
      <c r="AH187" s="7"/>
      <c r="AI187" s="7"/>
      <c r="AJ187" s="7"/>
      <c r="AK187" s="7"/>
      <c r="AL187" s="7"/>
      <c r="AM187" s="7"/>
      <c r="AN187" s="7"/>
      <c r="AO187" s="7"/>
      <c r="AP187" s="7"/>
      <c r="AQ187" s="7"/>
      <c r="AR187" s="7"/>
      <c r="AS187" s="7"/>
      <c r="AT187" s="7"/>
      <c r="AU187" s="7"/>
      <c r="AV187" s="7"/>
      <c r="AW187" s="7"/>
    </row>
    <row r="188" spans="21:49" ht="14.25" customHeight="1">
      <c r="U188" s="337"/>
      <c r="V188" s="335"/>
      <c r="AB188" s="7"/>
      <c r="AC188" s="7"/>
      <c r="AD188" s="7"/>
      <c r="AE188" s="7"/>
      <c r="AF188" s="7"/>
      <c r="AG188" s="7"/>
      <c r="AH188" s="7"/>
      <c r="AI188" s="7"/>
      <c r="AJ188" s="7"/>
      <c r="AK188" s="7"/>
      <c r="AL188" s="7"/>
      <c r="AM188" s="7"/>
      <c r="AN188" s="7"/>
      <c r="AO188" s="7"/>
      <c r="AP188" s="7"/>
      <c r="AQ188" s="7"/>
      <c r="AR188" s="7"/>
      <c r="AS188" s="7"/>
      <c r="AT188" s="7"/>
      <c r="AU188" s="7"/>
      <c r="AV188" s="7"/>
      <c r="AW188" s="7"/>
    </row>
    <row r="189" spans="21:49" ht="14.25" customHeight="1">
      <c r="U189" s="337"/>
      <c r="V189" s="335"/>
      <c r="AB189" s="7"/>
      <c r="AC189" s="7"/>
      <c r="AD189" s="7"/>
      <c r="AE189" s="7"/>
      <c r="AF189" s="7"/>
      <c r="AG189" s="7"/>
      <c r="AH189" s="7"/>
      <c r="AI189" s="7"/>
      <c r="AJ189" s="7"/>
      <c r="AK189" s="7"/>
      <c r="AL189" s="7"/>
      <c r="AM189" s="7"/>
      <c r="AN189" s="7"/>
      <c r="AO189" s="7"/>
      <c r="AP189" s="7"/>
      <c r="AQ189" s="7"/>
      <c r="AR189" s="7"/>
      <c r="AS189" s="7"/>
      <c r="AT189" s="7"/>
      <c r="AU189" s="7"/>
      <c r="AV189" s="7"/>
      <c r="AW189" s="7"/>
    </row>
    <row r="190" spans="21:49" ht="14.25" customHeight="1">
      <c r="U190" s="337"/>
      <c r="V190" s="335"/>
      <c r="AB190" s="7"/>
      <c r="AC190" s="7"/>
      <c r="AD190" s="7"/>
      <c r="AE190" s="7"/>
      <c r="AF190" s="7"/>
      <c r="AG190" s="7"/>
      <c r="AH190" s="7"/>
      <c r="AI190" s="7"/>
      <c r="AJ190" s="7"/>
      <c r="AK190" s="7"/>
      <c r="AL190" s="7"/>
      <c r="AM190" s="7"/>
      <c r="AN190" s="7"/>
      <c r="AO190" s="7"/>
      <c r="AP190" s="7"/>
      <c r="AQ190" s="7"/>
      <c r="AR190" s="7"/>
      <c r="AS190" s="7"/>
      <c r="AT190" s="7"/>
      <c r="AU190" s="7"/>
      <c r="AV190" s="7"/>
      <c r="AW190" s="7"/>
    </row>
    <row r="191" spans="21:49" ht="14.25" customHeight="1">
      <c r="U191" s="337"/>
      <c r="V191" s="335"/>
      <c r="AB191" s="7"/>
      <c r="AC191" s="7"/>
      <c r="AD191" s="7"/>
      <c r="AE191" s="7"/>
      <c r="AF191" s="7"/>
      <c r="AG191" s="7"/>
      <c r="AH191" s="7"/>
      <c r="AI191" s="7"/>
      <c r="AJ191" s="7"/>
      <c r="AK191" s="7"/>
      <c r="AL191" s="7"/>
      <c r="AM191" s="7"/>
      <c r="AN191" s="7"/>
      <c r="AO191" s="7"/>
      <c r="AP191" s="7"/>
      <c r="AQ191" s="7"/>
      <c r="AR191" s="7"/>
      <c r="AS191" s="7"/>
      <c r="AT191" s="7"/>
      <c r="AU191" s="7"/>
      <c r="AV191" s="7"/>
      <c r="AW191" s="7"/>
    </row>
    <row r="192" spans="21:49" ht="14.25" customHeight="1">
      <c r="U192" s="337"/>
      <c r="V192" s="335"/>
      <c r="AB192" s="7"/>
      <c r="AC192" s="7"/>
      <c r="AD192" s="7"/>
      <c r="AE192" s="7"/>
      <c r="AF192" s="7"/>
      <c r="AG192" s="7"/>
      <c r="AH192" s="7"/>
      <c r="AI192" s="7"/>
      <c r="AJ192" s="7"/>
      <c r="AK192" s="7"/>
      <c r="AL192" s="7"/>
      <c r="AM192" s="7"/>
      <c r="AN192" s="7"/>
      <c r="AO192" s="7"/>
      <c r="AP192" s="7"/>
      <c r="AQ192" s="7"/>
      <c r="AR192" s="7"/>
      <c r="AS192" s="7"/>
      <c r="AT192" s="7"/>
      <c r="AU192" s="7"/>
      <c r="AV192" s="7"/>
      <c r="AW192" s="7"/>
    </row>
    <row r="193" spans="21:49" ht="14.25" customHeight="1">
      <c r="U193" s="337"/>
      <c r="V193" s="335"/>
      <c r="AB193" s="7"/>
      <c r="AC193" s="7"/>
      <c r="AD193" s="7"/>
      <c r="AE193" s="7"/>
      <c r="AF193" s="7"/>
      <c r="AG193" s="7"/>
      <c r="AH193" s="7"/>
      <c r="AI193" s="7"/>
      <c r="AJ193" s="7"/>
      <c r="AK193" s="7"/>
      <c r="AL193" s="7"/>
      <c r="AM193" s="7"/>
      <c r="AN193" s="7"/>
      <c r="AO193" s="7"/>
      <c r="AP193" s="7"/>
      <c r="AQ193" s="7"/>
      <c r="AR193" s="7"/>
      <c r="AS193" s="7"/>
      <c r="AT193" s="7"/>
      <c r="AU193" s="7"/>
      <c r="AV193" s="7"/>
      <c r="AW193" s="7"/>
    </row>
    <row r="194" spans="22:49" ht="14.25" customHeight="1">
      <c r="V194" s="335"/>
      <c r="AB194" s="7"/>
      <c r="AC194" s="7"/>
      <c r="AD194" s="7"/>
      <c r="AE194" s="7"/>
      <c r="AF194" s="7"/>
      <c r="AG194" s="7"/>
      <c r="AH194" s="7"/>
      <c r="AI194" s="7"/>
      <c r="AJ194" s="7"/>
      <c r="AK194" s="7"/>
      <c r="AL194" s="7"/>
      <c r="AM194" s="7"/>
      <c r="AN194" s="7"/>
      <c r="AO194" s="7"/>
      <c r="AP194" s="7"/>
      <c r="AQ194" s="7"/>
      <c r="AR194" s="7"/>
      <c r="AS194" s="7"/>
      <c r="AT194" s="7"/>
      <c r="AU194" s="7"/>
      <c r="AV194" s="7"/>
      <c r="AW194" s="7"/>
    </row>
    <row r="195" spans="18:49" ht="14.25" customHeight="1">
      <c r="R195" s="338"/>
      <c r="U195" s="337"/>
      <c r="AB195" s="7"/>
      <c r="AC195" s="7"/>
      <c r="AD195" s="7"/>
      <c r="AE195" s="7"/>
      <c r="AF195" s="7"/>
      <c r="AG195" s="7"/>
      <c r="AH195" s="7"/>
      <c r="AI195" s="7"/>
      <c r="AJ195" s="7"/>
      <c r="AK195" s="7"/>
      <c r="AL195" s="7"/>
      <c r="AM195" s="7"/>
      <c r="AN195" s="7"/>
      <c r="AO195" s="7"/>
      <c r="AP195" s="7"/>
      <c r="AQ195" s="7"/>
      <c r="AR195" s="7"/>
      <c r="AS195" s="7"/>
      <c r="AT195" s="7"/>
      <c r="AU195" s="7"/>
      <c r="AV195" s="7"/>
      <c r="AW195" s="7"/>
    </row>
    <row r="196" spans="18:22" ht="14.25" customHeight="1">
      <c r="R196" s="332"/>
      <c r="U196" s="337"/>
      <c r="V196" s="335"/>
    </row>
    <row r="197" spans="21:22" ht="14.25" customHeight="1">
      <c r="U197" s="337"/>
      <c r="V197" s="335"/>
    </row>
    <row r="198" spans="21:22" ht="14.25" customHeight="1">
      <c r="U198" s="337"/>
      <c r="V198" s="335"/>
    </row>
    <row r="199" spans="21:22" ht="14.25" customHeight="1">
      <c r="U199" s="337"/>
      <c r="V199" s="335"/>
    </row>
    <row r="200" spans="21:22" ht="14.25" customHeight="1">
      <c r="U200" s="337"/>
      <c r="V200" s="335"/>
    </row>
    <row r="201" spans="21:22" ht="14.25" customHeight="1">
      <c r="U201" s="337"/>
      <c r="V201" s="335"/>
    </row>
    <row r="202" spans="21:22" ht="14.25" customHeight="1">
      <c r="U202" s="337"/>
      <c r="V202" s="335"/>
    </row>
    <row r="205" spans="18:21" ht="14.25" customHeight="1">
      <c r="R205" s="338"/>
      <c r="U205" s="337"/>
    </row>
    <row r="206" spans="21:22" ht="14.25" customHeight="1">
      <c r="U206" s="337"/>
      <c r="V206" s="332"/>
    </row>
    <row r="207" spans="21:22" ht="14.25" customHeight="1">
      <c r="U207" s="337"/>
      <c r="V207" s="332"/>
    </row>
    <row r="208" spans="21:22" ht="14.25" customHeight="1">
      <c r="U208" s="337"/>
      <c r="V208" s="332"/>
    </row>
    <row r="209" spans="21:22" ht="14.25" customHeight="1">
      <c r="U209" s="337"/>
      <c r="V209" s="332"/>
    </row>
    <row r="210" spans="21:22" ht="14.25" customHeight="1">
      <c r="U210" s="337"/>
      <c r="V210" s="332"/>
    </row>
    <row r="211" spans="21:22" ht="14.25" customHeight="1">
      <c r="U211" s="337"/>
      <c r="V211" s="332"/>
    </row>
    <row r="212" spans="18:22" ht="14.25" customHeight="1">
      <c r="R212" s="332"/>
      <c r="U212" s="337"/>
      <c r="V212" s="332"/>
    </row>
    <row r="214" ht="14.25" customHeight="1">
      <c r="R214" s="332"/>
    </row>
    <row r="215" spans="18:21" ht="14.25" customHeight="1">
      <c r="R215" s="338"/>
      <c r="U215" s="337"/>
    </row>
    <row r="216" spans="21:22" ht="14.25" customHeight="1">
      <c r="U216" s="337"/>
      <c r="V216" s="332"/>
    </row>
    <row r="217" spans="21:22" ht="14.25" customHeight="1">
      <c r="U217" s="337"/>
      <c r="V217" s="332"/>
    </row>
    <row r="218" spans="21:22" ht="14.25" customHeight="1">
      <c r="U218" s="337"/>
      <c r="V218" s="332"/>
    </row>
    <row r="219" spans="21:22" ht="14.25" customHeight="1">
      <c r="U219" s="337"/>
      <c r="V219" s="332"/>
    </row>
    <row r="220" spans="21:22" ht="14.25" customHeight="1">
      <c r="U220" s="337"/>
      <c r="V220" s="332"/>
    </row>
    <row r="221" spans="21:22" ht="14.25" customHeight="1">
      <c r="U221" s="337"/>
      <c r="V221" s="332"/>
    </row>
    <row r="222" spans="21:22" ht="14.25" customHeight="1">
      <c r="U222" s="337"/>
      <c r="V222" s="332"/>
    </row>
    <row r="223" ht="14.25" customHeight="1">
      <c r="U223" s="332"/>
    </row>
    <row r="224" spans="18:21" ht="14.25" customHeight="1">
      <c r="R224" s="338"/>
      <c r="U224" s="337"/>
    </row>
    <row r="225" spans="21:22" ht="14.25" customHeight="1">
      <c r="U225" s="337"/>
      <c r="V225" s="332"/>
    </row>
    <row r="226" spans="21:22" ht="14.25" customHeight="1">
      <c r="U226" s="337"/>
      <c r="V226" s="332"/>
    </row>
    <row r="227" spans="21:22" ht="14.25" customHeight="1">
      <c r="U227" s="337"/>
      <c r="V227" s="332"/>
    </row>
    <row r="228" spans="21:22" ht="14.25" customHeight="1">
      <c r="U228" s="337"/>
      <c r="V228" s="332"/>
    </row>
    <row r="229" spans="21:22" ht="14.25" customHeight="1">
      <c r="U229" s="337"/>
      <c r="V229" s="332"/>
    </row>
    <row r="230" spans="21:22" ht="14.25" customHeight="1">
      <c r="U230" s="337"/>
      <c r="V230" s="332"/>
    </row>
    <row r="231" spans="21:22" ht="14.25" customHeight="1">
      <c r="U231" s="337"/>
      <c r="V231" s="332"/>
    </row>
    <row r="233" spans="18:21" ht="14.25" customHeight="1">
      <c r="R233" s="338"/>
      <c r="U233" s="337"/>
    </row>
    <row r="234" spans="21:22" ht="14.25" customHeight="1">
      <c r="U234" s="337"/>
      <c r="V234" s="332"/>
    </row>
    <row r="235" spans="21:22" ht="14.25" customHeight="1">
      <c r="U235" s="337"/>
      <c r="V235" s="332"/>
    </row>
    <row r="236" spans="21:22" ht="14.25" customHeight="1">
      <c r="U236" s="337"/>
      <c r="V236" s="332"/>
    </row>
    <row r="237" spans="21:22" ht="14.25" customHeight="1">
      <c r="U237" s="337"/>
      <c r="V237" s="332"/>
    </row>
    <row r="238" spans="21:22" ht="14.25" customHeight="1">
      <c r="U238" s="337"/>
      <c r="V238" s="332"/>
    </row>
    <row r="239" spans="21:22" ht="14.25" customHeight="1">
      <c r="U239" s="337"/>
      <c r="V239" s="332"/>
    </row>
    <row r="240" spans="21:22" ht="14.25" customHeight="1">
      <c r="U240" s="337"/>
      <c r="V240" s="332"/>
    </row>
    <row r="241" spans="21:22" ht="14.25" customHeight="1">
      <c r="U241" s="337"/>
      <c r="V241" s="332"/>
    </row>
    <row r="242" spans="21:22" ht="14.25" customHeight="1">
      <c r="U242" s="337"/>
      <c r="V242" s="332"/>
    </row>
    <row r="243" spans="21:22" ht="14.25" customHeight="1">
      <c r="U243" s="332"/>
      <c r="V243" s="335"/>
    </row>
    <row r="244" spans="21:22" ht="14.25" customHeight="1">
      <c r="U244" s="332"/>
      <c r="V244" s="335"/>
    </row>
    <row r="245" spans="18:22" ht="14.25" customHeight="1">
      <c r="R245" s="338"/>
      <c r="U245" s="332"/>
      <c r="V245" s="335"/>
    </row>
    <row r="246" spans="21:22" ht="14.25" customHeight="1">
      <c r="U246" s="332"/>
      <c r="V246" s="335"/>
    </row>
    <row r="247" spans="21:22" ht="14.25" customHeight="1">
      <c r="U247" s="332"/>
      <c r="V247" s="335"/>
    </row>
    <row r="248" spans="21:22" ht="14.25" customHeight="1">
      <c r="U248" s="332"/>
      <c r="V248" s="335"/>
    </row>
    <row r="249" spans="21:22" ht="14.25" customHeight="1">
      <c r="U249" s="332"/>
      <c r="V249" s="335"/>
    </row>
    <row r="250" spans="21:22" ht="14.25" customHeight="1">
      <c r="U250" s="332"/>
      <c r="V250" s="335"/>
    </row>
    <row r="251" spans="21:22" ht="14.25" customHeight="1">
      <c r="U251" s="337"/>
      <c r="V251" s="332"/>
    </row>
    <row r="252" spans="21:22" ht="14.25" customHeight="1">
      <c r="U252" s="337"/>
      <c r="V252" s="332"/>
    </row>
    <row r="253" spans="21:22" ht="14.25" customHeight="1">
      <c r="U253" s="332"/>
      <c r="V253" s="335"/>
    </row>
    <row r="254" spans="21:22" ht="14.25" customHeight="1">
      <c r="U254" s="332"/>
      <c r="V254" s="335"/>
    </row>
    <row r="255" spans="18:22" ht="14.25" customHeight="1">
      <c r="R255" s="338"/>
      <c r="U255" s="332"/>
      <c r="V255" s="335"/>
    </row>
    <row r="256" spans="21:22" ht="14.25" customHeight="1">
      <c r="U256" s="332"/>
      <c r="V256" s="335"/>
    </row>
    <row r="257" spans="21:22" ht="14.25" customHeight="1">
      <c r="U257" s="332"/>
      <c r="V257" s="335"/>
    </row>
    <row r="258" spans="21:22" ht="14.25" customHeight="1">
      <c r="U258" s="332"/>
      <c r="V258" s="335"/>
    </row>
    <row r="259" spans="21:22" ht="14.25" customHeight="1">
      <c r="U259" s="332"/>
      <c r="V259" s="335"/>
    </row>
    <row r="260" spans="21:22" ht="14.25" customHeight="1">
      <c r="U260" s="332"/>
      <c r="V260" s="335"/>
    </row>
    <row r="261" spans="21:22" ht="14.25" customHeight="1">
      <c r="U261" s="337"/>
      <c r="V261" s="332"/>
    </row>
    <row r="262" spans="21:22" ht="14.25" customHeight="1">
      <c r="U262" s="337"/>
      <c r="V262" s="332"/>
    </row>
    <row r="265" spans="18:21" ht="14.25" customHeight="1">
      <c r="R265" s="338"/>
      <c r="U265" s="337"/>
    </row>
    <row r="266" spans="18:22" ht="14.25" customHeight="1">
      <c r="R266" s="338"/>
      <c r="U266" s="337"/>
      <c r="V266" s="332"/>
    </row>
    <row r="267" spans="18:22" ht="14.25" customHeight="1">
      <c r="R267" s="338"/>
      <c r="U267" s="337"/>
      <c r="V267" s="332"/>
    </row>
    <row r="268" spans="18:22" ht="14.25" customHeight="1">
      <c r="R268" s="338"/>
      <c r="U268" s="337"/>
      <c r="V268" s="332"/>
    </row>
    <row r="269" spans="18:22" ht="14.25" customHeight="1">
      <c r="R269" s="338"/>
      <c r="U269" s="337"/>
      <c r="V269" s="332"/>
    </row>
    <row r="270" spans="18:22" ht="14.25" customHeight="1">
      <c r="R270" s="338"/>
      <c r="U270" s="337"/>
      <c r="V270" s="332"/>
    </row>
    <row r="271" spans="18:22" ht="14.25" customHeight="1">
      <c r="R271" s="338"/>
      <c r="U271" s="337"/>
      <c r="V271" s="332"/>
    </row>
    <row r="272" spans="18:22" ht="14.25" customHeight="1">
      <c r="R272" s="338"/>
      <c r="U272" s="337"/>
      <c r="V272" s="332"/>
    </row>
    <row r="273" ht="14.25" customHeight="1">
      <c r="R273" s="338"/>
    </row>
    <row r="274" ht="14.25" customHeight="1">
      <c r="R274" s="338"/>
    </row>
    <row r="275" spans="18:21" ht="14.25" customHeight="1">
      <c r="R275" s="338"/>
      <c r="U275" s="337"/>
    </row>
    <row r="276" spans="18:22" ht="14.25" customHeight="1">
      <c r="R276" s="338"/>
      <c r="U276" s="337"/>
      <c r="V276" s="332"/>
    </row>
    <row r="277" spans="18:22" ht="14.25" customHeight="1">
      <c r="R277" s="338"/>
      <c r="U277" s="337"/>
      <c r="V277" s="332"/>
    </row>
    <row r="278" spans="18:22" ht="14.25" customHeight="1">
      <c r="R278" s="338"/>
      <c r="U278" s="337"/>
      <c r="V278" s="332"/>
    </row>
    <row r="279" spans="18:22" ht="14.25" customHeight="1">
      <c r="R279" s="338"/>
      <c r="U279" s="337"/>
      <c r="V279" s="332"/>
    </row>
    <row r="280" spans="18:22" ht="14.25" customHeight="1">
      <c r="R280" s="338"/>
      <c r="U280" s="337"/>
      <c r="V280" s="332"/>
    </row>
    <row r="281" spans="18:22" ht="14.25" customHeight="1">
      <c r="R281" s="338"/>
      <c r="U281" s="337"/>
      <c r="V281" s="332"/>
    </row>
    <row r="282" spans="18:22" ht="14.25" customHeight="1">
      <c r="R282" s="338"/>
      <c r="U282" s="337"/>
      <c r="V282" s="332"/>
    </row>
    <row r="283" ht="14.25" customHeight="1">
      <c r="R283" s="338"/>
    </row>
    <row r="284" ht="14.25" customHeight="1">
      <c r="R284" s="338"/>
    </row>
    <row r="285" spans="18:21" ht="14.25" customHeight="1">
      <c r="R285" s="338"/>
      <c r="U285" s="337"/>
    </row>
    <row r="286" spans="18:22" ht="14.25" customHeight="1">
      <c r="R286" s="338"/>
      <c r="U286" s="337"/>
      <c r="V286" s="332"/>
    </row>
    <row r="287" spans="18:22" ht="14.25" customHeight="1">
      <c r="R287" s="338"/>
      <c r="U287" s="337"/>
      <c r="V287" s="332"/>
    </row>
    <row r="288" spans="18:22" ht="14.25" customHeight="1">
      <c r="R288" s="338"/>
      <c r="U288" s="337"/>
      <c r="V288" s="332"/>
    </row>
    <row r="289" spans="18:22" ht="14.25" customHeight="1">
      <c r="R289" s="338"/>
      <c r="U289" s="337"/>
      <c r="V289" s="332"/>
    </row>
    <row r="290" spans="18:22" ht="14.25" customHeight="1">
      <c r="R290" s="338"/>
      <c r="U290" s="337"/>
      <c r="V290" s="332"/>
    </row>
    <row r="291" spans="18:22" ht="14.25" customHeight="1">
      <c r="R291" s="338"/>
      <c r="U291" s="337"/>
      <c r="V291" s="332"/>
    </row>
    <row r="292" spans="18:22" ht="14.25" customHeight="1">
      <c r="R292" s="338"/>
      <c r="U292" s="337"/>
      <c r="V292" s="332"/>
    </row>
    <row r="293" ht="14.25" customHeight="1">
      <c r="R293" s="338"/>
    </row>
    <row r="294" ht="14.25" customHeight="1">
      <c r="R294" s="338"/>
    </row>
    <row r="295" spans="18:21" ht="14.25" customHeight="1">
      <c r="R295" s="338"/>
      <c r="U295" s="337"/>
    </row>
    <row r="296" spans="21:22" ht="14.25" customHeight="1">
      <c r="U296" s="337"/>
      <c r="V296" s="332"/>
    </row>
    <row r="297" spans="21:22" ht="14.25" customHeight="1">
      <c r="U297" s="337"/>
      <c r="V297" s="332"/>
    </row>
    <row r="298" spans="21:22" ht="14.25" customHeight="1">
      <c r="U298" s="337"/>
      <c r="V298" s="332"/>
    </row>
    <row r="299" spans="21:22" ht="14.25" customHeight="1">
      <c r="U299" s="337"/>
      <c r="V299" s="332"/>
    </row>
    <row r="300" spans="21:22" ht="14.25" customHeight="1">
      <c r="U300" s="337"/>
      <c r="V300" s="332"/>
    </row>
    <row r="301" spans="21:22" ht="14.25" customHeight="1">
      <c r="U301" s="337"/>
      <c r="V301" s="332"/>
    </row>
    <row r="302" spans="21:22" ht="14.25" customHeight="1">
      <c r="U302" s="337"/>
      <c r="V302" s="332"/>
    </row>
    <row r="305" spans="18:21" ht="14.25" customHeight="1">
      <c r="R305" s="338"/>
      <c r="U305" s="337"/>
    </row>
    <row r="306" spans="21:22" ht="14.25" customHeight="1">
      <c r="U306" s="337"/>
      <c r="V306" s="332"/>
    </row>
    <row r="307" spans="21:22" ht="14.25" customHeight="1">
      <c r="U307" s="337"/>
      <c r="V307" s="332"/>
    </row>
    <row r="308" spans="21:22" ht="14.25" customHeight="1">
      <c r="U308" s="337"/>
      <c r="V308" s="332"/>
    </row>
    <row r="309" spans="21:22" ht="14.25" customHeight="1">
      <c r="U309" s="337"/>
      <c r="V309" s="332"/>
    </row>
    <row r="310" spans="21:22" ht="14.25" customHeight="1">
      <c r="U310" s="337"/>
      <c r="V310" s="332"/>
    </row>
    <row r="311" spans="21:22" ht="14.25" customHeight="1">
      <c r="U311" s="337"/>
      <c r="V311" s="332"/>
    </row>
    <row r="312" spans="21:22" ht="14.25" customHeight="1">
      <c r="U312" s="337"/>
      <c r="V312" s="332"/>
    </row>
    <row r="314" spans="18:21" ht="14.25" customHeight="1">
      <c r="R314" s="338"/>
      <c r="U314" s="337"/>
    </row>
    <row r="315" spans="21:22" ht="14.25" customHeight="1">
      <c r="U315" s="337"/>
      <c r="V315" s="332"/>
    </row>
    <row r="316" spans="21:22" ht="14.25" customHeight="1">
      <c r="U316" s="337"/>
      <c r="V316" s="332"/>
    </row>
    <row r="317" spans="21:22" ht="14.25" customHeight="1">
      <c r="U317" s="337"/>
      <c r="V317" s="332"/>
    </row>
    <row r="318" spans="21:22" ht="14.25" customHeight="1">
      <c r="U318" s="337"/>
      <c r="V318" s="332"/>
    </row>
    <row r="319" spans="21:22" ht="14.25" customHeight="1">
      <c r="U319" s="337"/>
      <c r="V319" s="332"/>
    </row>
    <row r="320" spans="21:22" ht="14.25" customHeight="1">
      <c r="U320" s="337"/>
      <c r="V320" s="332"/>
    </row>
    <row r="321" spans="21:22" ht="14.25" customHeight="1">
      <c r="U321" s="337"/>
      <c r="V321" s="332"/>
    </row>
    <row r="324" spans="18:21" ht="14.25" customHeight="1">
      <c r="R324" s="338"/>
      <c r="U324" s="337"/>
    </row>
    <row r="325" spans="21:22" ht="14.25" customHeight="1">
      <c r="U325" s="337"/>
      <c r="V325" s="332"/>
    </row>
    <row r="326" spans="21:22" ht="14.25" customHeight="1">
      <c r="U326" s="337"/>
      <c r="V326" s="332"/>
    </row>
    <row r="327" spans="21:22" ht="14.25" customHeight="1">
      <c r="U327" s="337"/>
      <c r="V327" s="332"/>
    </row>
    <row r="328" spans="21:22" ht="14.25" customHeight="1">
      <c r="U328" s="337"/>
      <c r="V328" s="332"/>
    </row>
    <row r="329" spans="21:22" ht="14.25" customHeight="1">
      <c r="U329" s="337"/>
      <c r="V329" s="332"/>
    </row>
    <row r="330" spans="21:22" ht="14.25" customHeight="1">
      <c r="U330" s="337"/>
      <c r="V330" s="332"/>
    </row>
    <row r="331" spans="21:22" ht="14.25" customHeight="1">
      <c r="U331" s="337"/>
      <c r="V331" s="332"/>
    </row>
    <row r="334" ht="14.25" customHeight="1">
      <c r="U334" s="337"/>
    </row>
    <row r="335" spans="21:22" ht="14.25" customHeight="1">
      <c r="U335" s="337"/>
      <c r="V335" s="332"/>
    </row>
    <row r="336" spans="21:22" ht="14.25" customHeight="1">
      <c r="U336" s="337"/>
      <c r="V336" s="332"/>
    </row>
    <row r="337" spans="21:22" ht="14.25" customHeight="1">
      <c r="U337" s="337"/>
      <c r="V337" s="332"/>
    </row>
    <row r="338" spans="21:22" ht="14.25" customHeight="1">
      <c r="U338" s="337"/>
      <c r="V338" s="332"/>
    </row>
    <row r="339" spans="21:22" ht="14.25" customHeight="1">
      <c r="U339" s="337"/>
      <c r="V339" s="332"/>
    </row>
    <row r="340" spans="21:22" ht="14.25" customHeight="1">
      <c r="U340" s="337"/>
      <c r="V340" s="332"/>
    </row>
    <row r="341" spans="21:22" ht="14.25" customHeight="1">
      <c r="U341" s="337"/>
      <c r="V341" s="332"/>
    </row>
    <row r="343" ht="14.25" customHeight="1">
      <c r="U343" s="339"/>
    </row>
    <row r="344" spans="19:20" ht="14.25" customHeight="1">
      <c r="S344" s="337"/>
      <c r="T344" s="339"/>
    </row>
    <row r="345" spans="19:20" ht="14.25" customHeight="1">
      <c r="S345" s="337"/>
      <c r="T345" s="339"/>
    </row>
    <row r="346" spans="19:20" ht="14.25" customHeight="1">
      <c r="S346" s="337"/>
      <c r="T346" s="339"/>
    </row>
    <row r="347" spans="19:20" ht="14.25" customHeight="1">
      <c r="S347" s="337"/>
      <c r="T347" s="339"/>
    </row>
    <row r="348" spans="19:20" ht="14.25" customHeight="1">
      <c r="S348" s="337"/>
      <c r="T348" s="339"/>
    </row>
    <row r="349" spans="19:20" ht="14.25" customHeight="1">
      <c r="S349" s="337"/>
      <c r="T349" s="339"/>
    </row>
    <row r="350" ht="14.25" customHeight="1">
      <c r="S350" s="337"/>
    </row>
    <row r="352" ht="14.25" customHeight="1">
      <c r="U352" s="332"/>
    </row>
    <row r="354" ht="14.25" customHeight="1">
      <c r="U354" s="339"/>
    </row>
    <row r="355" ht="14.25" customHeight="1">
      <c r="U355" s="339"/>
    </row>
    <row r="356" ht="14.25" customHeight="1">
      <c r="U356" s="339"/>
    </row>
    <row r="357" spans="21:22" ht="14.25" customHeight="1">
      <c r="U357" s="339"/>
      <c r="V357" s="340"/>
    </row>
    <row r="358" spans="21:22" ht="14.25" customHeight="1">
      <c r="U358" s="339"/>
      <c r="V358" s="340"/>
    </row>
    <row r="359" spans="21:22" ht="14.25" customHeight="1">
      <c r="U359" s="339"/>
      <c r="V359" s="340"/>
    </row>
    <row r="360" spans="21:22" ht="14.25" customHeight="1">
      <c r="U360" s="339"/>
      <c r="V360" s="340"/>
    </row>
    <row r="361" spans="21:22" ht="14.25" customHeight="1">
      <c r="U361" s="339"/>
      <c r="V361" s="340"/>
    </row>
    <row r="362" spans="21:22" ht="14.25" customHeight="1">
      <c r="U362" s="339"/>
      <c r="V362" s="340"/>
    </row>
    <row r="363" spans="21:22" ht="14.25" customHeight="1">
      <c r="U363" s="339"/>
      <c r="V363" s="340"/>
    </row>
    <row r="365" ht="14.25" customHeight="1">
      <c r="X365" s="339"/>
    </row>
    <row r="366" ht="14.25" customHeight="1">
      <c r="X366" s="339"/>
    </row>
    <row r="367" ht="14.25" customHeight="1">
      <c r="X367" s="339"/>
    </row>
    <row r="368" ht="14.25" customHeight="1">
      <c r="X368" s="339"/>
    </row>
    <row r="369" ht="14.25" customHeight="1">
      <c r="X369" s="339"/>
    </row>
    <row r="370" ht="14.25" customHeight="1">
      <c r="X370" s="339"/>
    </row>
    <row r="371" ht="14.25" customHeight="1">
      <c r="X371" s="339"/>
    </row>
    <row r="372" ht="14.25" customHeight="1">
      <c r="X372" s="339"/>
    </row>
    <row r="373" ht="14.25" customHeight="1">
      <c r="X373" s="339"/>
    </row>
    <row r="374" ht="14.25" customHeight="1">
      <c r="X374" s="339"/>
    </row>
    <row r="375" ht="14.25" customHeight="1">
      <c r="X375" s="339"/>
    </row>
    <row r="376" ht="14.25" customHeight="1">
      <c r="X376" s="339"/>
    </row>
    <row r="377" ht="14.25" customHeight="1" thickBot="1"/>
    <row r="378" spans="19:20" ht="14.25" customHeight="1" thickBot="1">
      <c r="S378" s="341"/>
      <c r="T378" s="342"/>
    </row>
    <row r="379" spans="20:25" ht="14.25" customHeight="1">
      <c r="T379" s="342"/>
      <c r="V379" s="332"/>
      <c r="X379" s="337"/>
      <c r="Y379" s="330"/>
    </row>
    <row r="380" spans="20:25" ht="14.25" customHeight="1">
      <c r="T380" s="342"/>
      <c r="V380" s="332"/>
      <c r="X380" s="337"/>
      <c r="Y380" s="330"/>
    </row>
    <row r="381" spans="20:25" ht="14.25" customHeight="1">
      <c r="T381" s="342"/>
      <c r="V381" s="332"/>
      <c r="X381" s="337"/>
      <c r="Y381" s="330"/>
    </row>
    <row r="382" spans="20:25" ht="14.25" customHeight="1">
      <c r="T382" s="342"/>
      <c r="V382" s="332"/>
      <c r="X382" s="337"/>
      <c r="Y382" s="330"/>
    </row>
    <row r="383" spans="20:25" ht="14.25" customHeight="1">
      <c r="T383" s="342"/>
      <c r="V383" s="332"/>
      <c r="X383" s="337"/>
      <c r="Y383" s="330"/>
    </row>
    <row r="384" spans="20:25" ht="14.25" customHeight="1">
      <c r="T384" s="342"/>
      <c r="V384" s="332"/>
      <c r="X384" s="337"/>
      <c r="Y384" s="330"/>
    </row>
    <row r="385" ht="14.25" customHeight="1">
      <c r="T385" s="342"/>
    </row>
    <row r="386" spans="24:25" ht="14.25" customHeight="1">
      <c r="X386" s="330"/>
      <c r="Y386" s="330"/>
    </row>
    <row r="387" spans="24:25" ht="14.25" customHeight="1">
      <c r="X387" s="330"/>
      <c r="Y387" s="330"/>
    </row>
    <row r="388" spans="24:25" ht="14.25" customHeight="1">
      <c r="X388" s="330"/>
      <c r="Y388" s="330"/>
    </row>
    <row r="389" spans="20:25" ht="14.25" customHeight="1">
      <c r="T389" s="342"/>
      <c r="U389" s="332"/>
      <c r="X389" s="330"/>
      <c r="Y389" s="330"/>
    </row>
    <row r="390" spans="20:25" ht="14.25" customHeight="1">
      <c r="T390" s="342"/>
      <c r="U390" s="332"/>
      <c r="X390" s="330"/>
      <c r="Y390" s="330"/>
    </row>
    <row r="391" spans="20:25" ht="14.25" customHeight="1">
      <c r="T391" s="342"/>
      <c r="U391" s="332"/>
      <c r="X391" s="330"/>
      <c r="Y391" s="330"/>
    </row>
    <row r="392" spans="20:21" ht="14.25" customHeight="1">
      <c r="T392" s="342"/>
      <c r="U392" s="332"/>
    </row>
    <row r="393" spans="20:21" ht="14.25" customHeight="1">
      <c r="T393" s="342"/>
      <c r="U393" s="332"/>
    </row>
    <row r="394" spans="20:23" ht="14.25" customHeight="1">
      <c r="T394" s="342"/>
      <c r="U394" s="332"/>
      <c r="W394" s="343"/>
    </row>
    <row r="395" ht="14.25" customHeight="1">
      <c r="T395" s="342"/>
    </row>
    <row r="401" ht="14.25" customHeight="1">
      <c r="V401" s="343"/>
    </row>
    <row r="403" ht="14.25" customHeight="1" thickBot="1"/>
    <row r="404" ht="14.25" customHeight="1" thickBot="1">
      <c r="V404" s="344"/>
    </row>
  </sheetData>
  <sheetProtection password="C61F" sheet="1" formatRows="0"/>
  <autoFilter ref="A15:AA127"/>
  <mergeCells count="172">
    <mergeCell ref="X112:X127"/>
    <mergeCell ref="Y112:Y127"/>
    <mergeCell ref="Z112:Z119"/>
    <mergeCell ref="AA112:AA127"/>
    <mergeCell ref="Z120:Z127"/>
    <mergeCell ref="R112:R127"/>
    <mergeCell ref="S112:S127"/>
    <mergeCell ref="T112:T127"/>
    <mergeCell ref="U112:U127"/>
    <mergeCell ref="V112:V127"/>
    <mergeCell ref="W112:W127"/>
    <mergeCell ref="AA96:AA111"/>
    <mergeCell ref="H112:H127"/>
    <mergeCell ref="I112:I127"/>
    <mergeCell ref="J112:J127"/>
    <mergeCell ref="K112:K127"/>
    <mergeCell ref="M112:M127"/>
    <mergeCell ref="N112:N127"/>
    <mergeCell ref="O112:O127"/>
    <mergeCell ref="P112:P127"/>
    <mergeCell ref="Q112:Q127"/>
    <mergeCell ref="U96:U111"/>
    <mergeCell ref="V96:V111"/>
    <mergeCell ref="W96:W111"/>
    <mergeCell ref="X96:X111"/>
    <mergeCell ref="Y96:Y111"/>
    <mergeCell ref="Z96:Z111"/>
    <mergeCell ref="O96:O111"/>
    <mergeCell ref="P96:P111"/>
    <mergeCell ref="Q96:Q111"/>
    <mergeCell ref="R96:R111"/>
    <mergeCell ref="S96:S111"/>
    <mergeCell ref="T96:T111"/>
    <mergeCell ref="AA80:AA83"/>
    <mergeCell ref="AA84:AA87"/>
    <mergeCell ref="AA88:AA91"/>
    <mergeCell ref="AA92:AA95"/>
    <mergeCell ref="H96:H111"/>
    <mergeCell ref="I96:I111"/>
    <mergeCell ref="J96:J111"/>
    <mergeCell ref="K96:K111"/>
    <mergeCell ref="M96:M111"/>
    <mergeCell ref="N96:N111"/>
    <mergeCell ref="U80:U95"/>
    <mergeCell ref="V80:V95"/>
    <mergeCell ref="W80:W95"/>
    <mergeCell ref="X80:X95"/>
    <mergeCell ref="Y80:Y95"/>
    <mergeCell ref="Z80:Z95"/>
    <mergeCell ref="O80:O95"/>
    <mergeCell ref="P80:P95"/>
    <mergeCell ref="Q80:Q95"/>
    <mergeCell ref="R80:R95"/>
    <mergeCell ref="S80:S95"/>
    <mergeCell ref="T80:T95"/>
    <mergeCell ref="H80:H95"/>
    <mergeCell ref="I80:I95"/>
    <mergeCell ref="J80:J95"/>
    <mergeCell ref="K80:K95"/>
    <mergeCell ref="M80:M95"/>
    <mergeCell ref="N80:N95"/>
    <mergeCell ref="X64:X79"/>
    <mergeCell ref="Y64:Y79"/>
    <mergeCell ref="Z64:Z79"/>
    <mergeCell ref="AA64:AA79"/>
    <mergeCell ref="N67:N79"/>
    <mergeCell ref="O67:O79"/>
    <mergeCell ref="P67:P79"/>
    <mergeCell ref="R64:R79"/>
    <mergeCell ref="S64:S79"/>
    <mergeCell ref="T64:T79"/>
    <mergeCell ref="U64:U79"/>
    <mergeCell ref="V64:V79"/>
    <mergeCell ref="W64:W79"/>
    <mergeCell ref="X48:X63"/>
    <mergeCell ref="Y48:Y63"/>
    <mergeCell ref="Z48:Z63"/>
    <mergeCell ref="AA48:AA63"/>
    <mergeCell ref="H64:H79"/>
    <mergeCell ref="I64:I79"/>
    <mergeCell ref="J64:J79"/>
    <mergeCell ref="K64:K79"/>
    <mergeCell ref="M64:M79"/>
    <mergeCell ref="Q64:Q79"/>
    <mergeCell ref="R48:R63"/>
    <mergeCell ref="S48:S63"/>
    <mergeCell ref="T48:T63"/>
    <mergeCell ref="U48:U63"/>
    <mergeCell ref="V48:V63"/>
    <mergeCell ref="W48:W63"/>
    <mergeCell ref="AA32:AA47"/>
    <mergeCell ref="H48:H63"/>
    <mergeCell ref="I48:I63"/>
    <mergeCell ref="J48:J63"/>
    <mergeCell ref="K48:K63"/>
    <mergeCell ref="M48:M63"/>
    <mergeCell ref="N48:N63"/>
    <mergeCell ref="O48:O63"/>
    <mergeCell ref="P48:P63"/>
    <mergeCell ref="Q48:Q63"/>
    <mergeCell ref="U32:U47"/>
    <mergeCell ref="V32:V47"/>
    <mergeCell ref="W32:W47"/>
    <mergeCell ref="X32:X47"/>
    <mergeCell ref="Y32:Y47"/>
    <mergeCell ref="Z32:Z47"/>
    <mergeCell ref="O32:O47"/>
    <mergeCell ref="P32:P47"/>
    <mergeCell ref="Q32:Q47"/>
    <mergeCell ref="R32:R47"/>
    <mergeCell ref="S32:S47"/>
    <mergeCell ref="T32:T47"/>
    <mergeCell ref="Y16:Y31"/>
    <mergeCell ref="Z16:Z31"/>
    <mergeCell ref="AA16:AA31"/>
    <mergeCell ref="H32:H47"/>
    <mergeCell ref="I32:I47"/>
    <mergeCell ref="J32:J47"/>
    <mergeCell ref="K32:K47"/>
    <mergeCell ref="L32:L47"/>
    <mergeCell ref="M32:M47"/>
    <mergeCell ref="N32:N47"/>
    <mergeCell ref="S16:S31"/>
    <mergeCell ref="T16:T31"/>
    <mergeCell ref="U16:U31"/>
    <mergeCell ref="V16:V31"/>
    <mergeCell ref="W16:W31"/>
    <mergeCell ref="X16:X31"/>
    <mergeCell ref="M16:M31"/>
    <mergeCell ref="N16:N31"/>
    <mergeCell ref="O16:O31"/>
    <mergeCell ref="P16:P31"/>
    <mergeCell ref="Q16:Q31"/>
    <mergeCell ref="R16:R31"/>
    <mergeCell ref="AO14:AP14"/>
    <mergeCell ref="AQ14:AR14"/>
    <mergeCell ref="AW14:AX14"/>
    <mergeCell ref="AY14:AZ14"/>
    <mergeCell ref="BA14:BB14"/>
    <mergeCell ref="H16:H31"/>
    <mergeCell ref="I16:I31"/>
    <mergeCell ref="J16:J31"/>
    <mergeCell ref="K16:K31"/>
    <mergeCell ref="L16:L31"/>
    <mergeCell ref="AC14:AD14"/>
    <mergeCell ref="AE14:AF14"/>
    <mergeCell ref="AG14:AH14"/>
    <mergeCell ref="AI14:AJ14"/>
    <mergeCell ref="AK14:AL14"/>
    <mergeCell ref="AM14:AN14"/>
    <mergeCell ref="W14:W15"/>
    <mergeCell ref="X14:X15"/>
    <mergeCell ref="Y14:Y15"/>
    <mergeCell ref="Z14:Z15"/>
    <mergeCell ref="AA14:AA15"/>
    <mergeCell ref="AB14:AB15"/>
    <mergeCell ref="AK1:AN8"/>
    <mergeCell ref="AO1:AQ8"/>
    <mergeCell ref="G14:G15"/>
    <mergeCell ref="H14:H15"/>
    <mergeCell ref="I14:I15"/>
    <mergeCell ref="J14:L14"/>
    <mergeCell ref="O14:P14"/>
    <mergeCell ref="Q14:R14"/>
    <mergeCell ref="S14:T14"/>
    <mergeCell ref="U14:V14"/>
    <mergeCell ref="A1:D8"/>
    <mergeCell ref="E1:N8"/>
    <mergeCell ref="O1:R8"/>
    <mergeCell ref="S1:U8"/>
    <mergeCell ref="W1:Y8"/>
    <mergeCell ref="Z1:AJ8"/>
  </mergeCells>
  <conditionalFormatting sqref="Q128:T128 AW128:BB128">
    <cfRule type="cellIs" priority="2" dxfId="4" operator="notEqual" stopIfTrue="1">
      <formula>#REF!</formula>
    </cfRule>
  </conditionalFormatting>
  <conditionalFormatting sqref="Q16:V127">
    <cfRule type="cellIs" priority="1" dxfId="5" operator="notEqual" stopIfTrue="1">
      <formula>AW16</formula>
    </cfRule>
  </conditionalFormatting>
  <dataValidations count="1">
    <dataValidation type="whole" allowBlank="1" showInputMessage="1" showErrorMessage="1" sqref="AC16:AR127">
      <formula1>0</formula1>
      <formula2>99999999999</formula2>
    </dataValidation>
  </dataValidations>
  <printOptions/>
  <pageMargins left="0.7" right="0.7" top="0.75" bottom="0.75" header="0.3" footer="0.3"/>
  <pageSetup horizontalDpi="600" verticalDpi="600" orientation="landscape" scale="80" r:id="rId4"/>
  <drawing r:id="rId3"/>
  <legacyDrawing r:id="rId2"/>
</worksheet>
</file>

<file path=xl/worksheets/sheet2.xml><?xml version="1.0" encoding="utf-8"?>
<worksheet xmlns="http://schemas.openxmlformats.org/spreadsheetml/2006/main" xmlns:r="http://schemas.openxmlformats.org/officeDocument/2006/relationships">
  <sheetPr codeName="Hoja4">
    <tabColor rgb="FFFFC000"/>
  </sheetPr>
  <dimension ref="A1:AY66"/>
  <sheetViews>
    <sheetView showGridLines="0" zoomScalePageLayoutView="0" workbookViewId="0" topLeftCell="C10">
      <selection activeCell="D41" sqref="D41"/>
    </sheetView>
  </sheetViews>
  <sheetFormatPr defaultColWidth="0" defaultRowHeight="21" customHeight="1" outlineLevelRow="2"/>
  <cols>
    <col min="1" max="1" width="6.421875" style="6" hidden="1" customWidth="1"/>
    <col min="2" max="2" width="6.28125" style="6" hidden="1" customWidth="1"/>
    <col min="3" max="3" width="6.57421875" style="6" customWidth="1"/>
    <col min="4" max="4" width="16.7109375" style="6" customWidth="1"/>
    <col min="5" max="5" width="7.57421875" style="6" bestFit="1" customWidth="1"/>
    <col min="6" max="6" width="37.421875" style="6" customWidth="1"/>
    <col min="7" max="7" width="4.28125" style="6" customWidth="1"/>
    <col min="8" max="8" width="3.7109375" style="6" customWidth="1"/>
    <col min="9" max="9" width="3.140625" style="6" customWidth="1"/>
    <col min="10" max="10" width="16.7109375" style="6" customWidth="1"/>
    <col min="11" max="11" width="8.140625" style="6" customWidth="1"/>
    <col min="12" max="12" width="12.8515625" style="357" customWidth="1"/>
    <col min="13" max="13" width="16.421875" style="6" customWidth="1"/>
    <col min="14" max="14" width="15.57421875" style="6" customWidth="1"/>
    <col min="15" max="15" width="19.00390625" style="358" customWidth="1"/>
    <col min="16" max="16" width="16.57421875" style="358" customWidth="1"/>
    <col min="17" max="17" width="16.7109375" style="358" customWidth="1"/>
    <col min="18" max="18" width="15.57421875" style="358" customWidth="1"/>
    <col min="19" max="19" width="38.28125" style="6" customWidth="1"/>
    <col min="20" max="20" width="24.7109375" style="6" customWidth="1"/>
    <col min="21" max="21" width="16.7109375" style="6" customWidth="1"/>
    <col min="22" max="22" width="16.57421875" style="6" customWidth="1"/>
    <col min="23" max="23" width="7.57421875" style="6" customWidth="1"/>
    <col min="24" max="24" width="11.140625" style="6" customWidth="1"/>
    <col min="25" max="25" width="16.421875" style="6" customWidth="1"/>
    <col min="26" max="26" width="2.57421875" style="6" customWidth="1"/>
    <col min="27" max="27" width="11.140625" style="6" customWidth="1"/>
    <col min="28" max="28" width="16.421875" style="6" customWidth="1"/>
    <col min="29" max="29" width="2.57421875" style="6" customWidth="1"/>
    <col min="30" max="30" width="11.140625" style="6" customWidth="1"/>
    <col min="31" max="31" width="16.421875" style="6" customWidth="1"/>
    <col min="32" max="32" width="2.57421875" style="6" customWidth="1"/>
    <col min="33" max="33" width="11.140625" style="6" customWidth="1"/>
    <col min="34" max="34" width="16.421875" style="6" customWidth="1"/>
    <col min="35" max="35" width="2.57421875" style="6" customWidth="1"/>
    <col min="36" max="36" width="11.140625" style="6" customWidth="1"/>
    <col min="37" max="37" width="16.421875" style="6" customWidth="1"/>
    <col min="38" max="38" width="2.57421875" style="6" customWidth="1"/>
    <col min="39" max="39" width="11.140625" style="6" customWidth="1"/>
    <col min="40" max="40" width="16.421875" style="6" customWidth="1"/>
    <col min="41" max="41" width="2.57421875" style="6" customWidth="1"/>
    <col min="42" max="42" width="11.140625" style="6" customWidth="1"/>
    <col min="43" max="43" width="16.421875" style="6" customWidth="1"/>
    <col min="44" max="44" width="2.57421875" style="6" customWidth="1"/>
    <col min="45" max="45" width="11.140625" style="6" customWidth="1"/>
    <col min="46" max="46" width="16.421875" style="6" customWidth="1"/>
    <col min="47" max="47" width="2.57421875" style="6" customWidth="1"/>
    <col min="48" max="48" width="11.421875" style="6" customWidth="1"/>
    <col min="49" max="16384" width="11.421875" style="6" hidden="1" customWidth="1"/>
  </cols>
  <sheetData>
    <row r="1" spans="1:51" s="176" customFormat="1" ht="21" customHeight="1">
      <c r="A1" s="169"/>
      <c r="B1" s="170"/>
      <c r="C1" s="172"/>
      <c r="D1" s="173" t="s">
        <v>209</v>
      </c>
      <c r="E1" s="174"/>
      <c r="F1" s="174"/>
      <c r="G1" s="174"/>
      <c r="H1" s="174"/>
      <c r="I1" s="175"/>
      <c r="J1" s="166" t="s">
        <v>112</v>
      </c>
      <c r="K1" s="167"/>
      <c r="L1" s="167"/>
      <c r="M1" s="168"/>
      <c r="N1" s="173"/>
      <c r="O1" s="175"/>
      <c r="P1" s="345"/>
      <c r="Q1" s="346"/>
      <c r="R1" s="347"/>
      <c r="S1" s="190" t="s">
        <v>210</v>
      </c>
      <c r="T1" s="191"/>
      <c r="U1" s="191"/>
      <c r="V1" s="191"/>
      <c r="W1" s="191"/>
      <c r="X1" s="191"/>
      <c r="Y1" s="191"/>
      <c r="Z1" s="191"/>
      <c r="AA1" s="192"/>
      <c r="AB1" s="166" t="s">
        <v>112</v>
      </c>
      <c r="AC1" s="167"/>
      <c r="AD1" s="167"/>
      <c r="AE1" s="168"/>
      <c r="AF1" s="348"/>
      <c r="AG1" s="348"/>
      <c r="AH1" s="173"/>
      <c r="AI1" s="174"/>
      <c r="AJ1" s="175"/>
      <c r="AK1" s="190" t="s">
        <v>211</v>
      </c>
      <c r="AL1" s="191"/>
      <c r="AM1" s="191"/>
      <c r="AN1" s="191"/>
      <c r="AO1" s="191"/>
      <c r="AP1" s="191"/>
      <c r="AQ1" s="191"/>
      <c r="AR1" s="192"/>
      <c r="AS1" s="166" t="s">
        <v>112</v>
      </c>
      <c r="AT1" s="167"/>
      <c r="AU1" s="167"/>
      <c r="AV1" s="168"/>
      <c r="AW1" s="169"/>
      <c r="AX1" s="170"/>
      <c r="AY1" s="172"/>
    </row>
    <row r="2" spans="1:51" s="176" customFormat="1" ht="21" customHeight="1">
      <c r="A2" s="186"/>
      <c r="B2" s="187"/>
      <c r="C2" s="189"/>
      <c r="D2" s="190"/>
      <c r="E2" s="191"/>
      <c r="F2" s="191"/>
      <c r="G2" s="191"/>
      <c r="H2" s="191"/>
      <c r="I2" s="192"/>
      <c r="J2" s="183"/>
      <c r="K2" s="184"/>
      <c r="L2" s="184"/>
      <c r="M2" s="185"/>
      <c r="N2" s="190"/>
      <c r="O2" s="192"/>
      <c r="P2" s="349"/>
      <c r="Q2" s="350"/>
      <c r="R2" s="351"/>
      <c r="S2" s="190"/>
      <c r="T2" s="191"/>
      <c r="U2" s="191"/>
      <c r="V2" s="191"/>
      <c r="W2" s="191"/>
      <c r="X2" s="191"/>
      <c r="Y2" s="191"/>
      <c r="Z2" s="191"/>
      <c r="AA2" s="192"/>
      <c r="AB2" s="183"/>
      <c r="AC2" s="184"/>
      <c r="AD2" s="184"/>
      <c r="AE2" s="185"/>
      <c r="AF2" s="352"/>
      <c r="AG2" s="352"/>
      <c r="AH2" s="190"/>
      <c r="AI2" s="191"/>
      <c r="AJ2" s="192"/>
      <c r="AK2" s="190"/>
      <c r="AL2" s="191"/>
      <c r="AM2" s="191"/>
      <c r="AN2" s="191"/>
      <c r="AO2" s="191"/>
      <c r="AP2" s="191"/>
      <c r="AQ2" s="191"/>
      <c r="AR2" s="192"/>
      <c r="AS2" s="183"/>
      <c r="AT2" s="184"/>
      <c r="AU2" s="184"/>
      <c r="AV2" s="185"/>
      <c r="AW2" s="186"/>
      <c r="AX2" s="187"/>
      <c r="AY2" s="189"/>
    </row>
    <row r="3" spans="1:51" s="176" customFormat="1" ht="21" customHeight="1">
      <c r="A3" s="186"/>
      <c r="B3" s="187"/>
      <c r="C3" s="189"/>
      <c r="D3" s="190"/>
      <c r="E3" s="191"/>
      <c r="F3" s="191"/>
      <c r="G3" s="191"/>
      <c r="H3" s="191"/>
      <c r="I3" s="192"/>
      <c r="J3" s="183"/>
      <c r="K3" s="184"/>
      <c r="L3" s="184"/>
      <c r="M3" s="185"/>
      <c r="N3" s="190"/>
      <c r="O3" s="192"/>
      <c r="P3" s="349"/>
      <c r="Q3" s="350"/>
      <c r="R3" s="351"/>
      <c r="S3" s="190"/>
      <c r="T3" s="191"/>
      <c r="U3" s="191"/>
      <c r="V3" s="191"/>
      <c r="W3" s="191"/>
      <c r="X3" s="191"/>
      <c r="Y3" s="191"/>
      <c r="Z3" s="191"/>
      <c r="AA3" s="192"/>
      <c r="AB3" s="183"/>
      <c r="AC3" s="184"/>
      <c r="AD3" s="184"/>
      <c r="AE3" s="185"/>
      <c r="AF3" s="352"/>
      <c r="AG3" s="352"/>
      <c r="AH3" s="190"/>
      <c r="AI3" s="191"/>
      <c r="AJ3" s="192"/>
      <c r="AK3" s="190"/>
      <c r="AL3" s="191"/>
      <c r="AM3" s="191"/>
      <c r="AN3" s="191"/>
      <c r="AO3" s="191"/>
      <c r="AP3" s="191"/>
      <c r="AQ3" s="191"/>
      <c r="AR3" s="192"/>
      <c r="AS3" s="183"/>
      <c r="AT3" s="184"/>
      <c r="AU3" s="184"/>
      <c r="AV3" s="185"/>
      <c r="AW3" s="186"/>
      <c r="AX3" s="187"/>
      <c r="AY3" s="189"/>
    </row>
    <row r="4" spans="1:51" s="176" customFormat="1" ht="21" customHeight="1">
      <c r="A4" s="186"/>
      <c r="B4" s="187"/>
      <c r="C4" s="189"/>
      <c r="D4" s="190"/>
      <c r="E4" s="191"/>
      <c r="F4" s="191"/>
      <c r="G4" s="191"/>
      <c r="H4" s="191"/>
      <c r="I4" s="192"/>
      <c r="J4" s="183"/>
      <c r="K4" s="184"/>
      <c r="L4" s="184"/>
      <c r="M4" s="185"/>
      <c r="N4" s="190"/>
      <c r="O4" s="192"/>
      <c r="P4" s="349"/>
      <c r="Q4" s="350"/>
      <c r="R4" s="351"/>
      <c r="S4" s="190"/>
      <c r="T4" s="191"/>
      <c r="U4" s="191"/>
      <c r="V4" s="191"/>
      <c r="W4" s="191"/>
      <c r="X4" s="191"/>
      <c r="Y4" s="191"/>
      <c r="Z4" s="191"/>
      <c r="AA4" s="192"/>
      <c r="AB4" s="183"/>
      <c r="AC4" s="184"/>
      <c r="AD4" s="184"/>
      <c r="AE4" s="185"/>
      <c r="AF4" s="352"/>
      <c r="AG4" s="352"/>
      <c r="AH4" s="190"/>
      <c r="AI4" s="191"/>
      <c r="AJ4" s="192"/>
      <c r="AK4" s="190"/>
      <c r="AL4" s="191"/>
      <c r="AM4" s="191"/>
      <c r="AN4" s="191"/>
      <c r="AO4" s="191"/>
      <c r="AP4" s="191"/>
      <c r="AQ4" s="191"/>
      <c r="AR4" s="192"/>
      <c r="AS4" s="183"/>
      <c r="AT4" s="184"/>
      <c r="AU4" s="184"/>
      <c r="AV4" s="185"/>
      <c r="AW4" s="186"/>
      <c r="AX4" s="187"/>
      <c r="AY4" s="189"/>
    </row>
    <row r="5" spans="1:51" s="176" customFormat="1" ht="21" customHeight="1">
      <c r="A5" s="186"/>
      <c r="B5" s="187"/>
      <c r="C5" s="189"/>
      <c r="D5" s="190"/>
      <c r="E5" s="191"/>
      <c r="F5" s="191"/>
      <c r="G5" s="191"/>
      <c r="H5" s="191"/>
      <c r="I5" s="192"/>
      <c r="J5" s="183"/>
      <c r="K5" s="184"/>
      <c r="L5" s="184"/>
      <c r="M5" s="185"/>
      <c r="N5" s="190"/>
      <c r="O5" s="192"/>
      <c r="P5" s="349"/>
      <c r="Q5" s="350"/>
      <c r="R5" s="351"/>
      <c r="S5" s="190"/>
      <c r="T5" s="191"/>
      <c r="U5" s="191"/>
      <c r="V5" s="191"/>
      <c r="W5" s="191"/>
      <c r="X5" s="191"/>
      <c r="Y5" s="191"/>
      <c r="Z5" s="191"/>
      <c r="AA5" s="192"/>
      <c r="AB5" s="183"/>
      <c r="AC5" s="184"/>
      <c r="AD5" s="184"/>
      <c r="AE5" s="185"/>
      <c r="AF5" s="352"/>
      <c r="AG5" s="352"/>
      <c r="AH5" s="190"/>
      <c r="AI5" s="191"/>
      <c r="AJ5" s="192"/>
      <c r="AK5" s="190"/>
      <c r="AL5" s="191"/>
      <c r="AM5" s="191"/>
      <c r="AN5" s="191"/>
      <c r="AO5" s="191"/>
      <c r="AP5" s="191"/>
      <c r="AQ5" s="191"/>
      <c r="AR5" s="192"/>
      <c r="AS5" s="183"/>
      <c r="AT5" s="184"/>
      <c r="AU5" s="184"/>
      <c r="AV5" s="185"/>
      <c r="AW5" s="186"/>
      <c r="AX5" s="187"/>
      <c r="AY5" s="189"/>
    </row>
    <row r="6" spans="1:51" s="176" customFormat="1" ht="21" customHeight="1">
      <c r="A6" s="186"/>
      <c r="B6" s="187"/>
      <c r="C6" s="189"/>
      <c r="D6" s="190"/>
      <c r="E6" s="191"/>
      <c r="F6" s="191"/>
      <c r="G6" s="191"/>
      <c r="H6" s="191"/>
      <c r="I6" s="192"/>
      <c r="J6" s="183"/>
      <c r="K6" s="184"/>
      <c r="L6" s="184"/>
      <c r="M6" s="185"/>
      <c r="N6" s="190"/>
      <c r="O6" s="192"/>
      <c r="P6" s="349"/>
      <c r="Q6" s="350"/>
      <c r="R6" s="351"/>
      <c r="S6" s="190"/>
      <c r="T6" s="191"/>
      <c r="U6" s="191"/>
      <c r="V6" s="191"/>
      <c r="W6" s="191"/>
      <c r="X6" s="191"/>
      <c r="Y6" s="191"/>
      <c r="Z6" s="191"/>
      <c r="AA6" s="192"/>
      <c r="AB6" s="183"/>
      <c r="AC6" s="184"/>
      <c r="AD6" s="184"/>
      <c r="AE6" s="185"/>
      <c r="AF6" s="352"/>
      <c r="AG6" s="352"/>
      <c r="AH6" s="190"/>
      <c r="AI6" s="191"/>
      <c r="AJ6" s="192"/>
      <c r="AK6" s="190"/>
      <c r="AL6" s="191"/>
      <c r="AM6" s="191"/>
      <c r="AN6" s="191"/>
      <c r="AO6" s="191"/>
      <c r="AP6" s="191"/>
      <c r="AQ6" s="191"/>
      <c r="AR6" s="192"/>
      <c r="AS6" s="183"/>
      <c r="AT6" s="184"/>
      <c r="AU6" s="184"/>
      <c r="AV6" s="185"/>
      <c r="AW6" s="186"/>
      <c r="AX6" s="187"/>
      <c r="AY6" s="189"/>
    </row>
    <row r="7" spans="1:51" s="176" customFormat="1" ht="21" customHeight="1">
      <c r="A7" s="186"/>
      <c r="B7" s="187"/>
      <c r="C7" s="189"/>
      <c r="D7" s="190"/>
      <c r="E7" s="191"/>
      <c r="F7" s="191"/>
      <c r="G7" s="191"/>
      <c r="H7" s="191"/>
      <c r="I7" s="192"/>
      <c r="J7" s="183"/>
      <c r="K7" s="184"/>
      <c r="L7" s="184"/>
      <c r="M7" s="185"/>
      <c r="N7" s="190"/>
      <c r="O7" s="192"/>
      <c r="P7" s="349"/>
      <c r="Q7" s="350"/>
      <c r="R7" s="351"/>
      <c r="S7" s="190"/>
      <c r="T7" s="191"/>
      <c r="U7" s="191"/>
      <c r="V7" s="191"/>
      <c r="W7" s="191"/>
      <c r="X7" s="191"/>
      <c r="Y7" s="191"/>
      <c r="Z7" s="191"/>
      <c r="AA7" s="192"/>
      <c r="AB7" s="183"/>
      <c r="AC7" s="184"/>
      <c r="AD7" s="184"/>
      <c r="AE7" s="185"/>
      <c r="AF7" s="352"/>
      <c r="AG7" s="352"/>
      <c r="AH7" s="190"/>
      <c r="AI7" s="191"/>
      <c r="AJ7" s="192"/>
      <c r="AK7" s="190"/>
      <c r="AL7" s="191"/>
      <c r="AM7" s="191"/>
      <c r="AN7" s="191"/>
      <c r="AO7" s="191"/>
      <c r="AP7" s="191"/>
      <c r="AQ7" s="191"/>
      <c r="AR7" s="192"/>
      <c r="AS7" s="183"/>
      <c r="AT7" s="184"/>
      <c r="AU7" s="184"/>
      <c r="AV7" s="185"/>
      <c r="AW7" s="186"/>
      <c r="AX7" s="187"/>
      <c r="AY7" s="189"/>
    </row>
    <row r="8" spans="1:51" s="176" customFormat="1" ht="21" customHeight="1" thickBot="1">
      <c r="A8" s="202"/>
      <c r="B8" s="203"/>
      <c r="C8" s="205"/>
      <c r="D8" s="206"/>
      <c r="E8" s="207"/>
      <c r="F8" s="207"/>
      <c r="G8" s="207"/>
      <c r="H8" s="207"/>
      <c r="I8" s="208"/>
      <c r="J8" s="199"/>
      <c r="K8" s="200"/>
      <c r="L8" s="200"/>
      <c r="M8" s="201"/>
      <c r="N8" s="206"/>
      <c r="O8" s="208"/>
      <c r="P8" s="353"/>
      <c r="Q8" s="354"/>
      <c r="R8" s="355"/>
      <c r="S8" s="206"/>
      <c r="T8" s="207"/>
      <c r="U8" s="207"/>
      <c r="V8" s="207"/>
      <c r="W8" s="207"/>
      <c r="X8" s="207"/>
      <c r="Y8" s="207"/>
      <c r="Z8" s="207"/>
      <c r="AA8" s="208"/>
      <c r="AB8" s="199"/>
      <c r="AC8" s="200"/>
      <c r="AD8" s="200"/>
      <c r="AE8" s="201"/>
      <c r="AF8" s="356"/>
      <c r="AG8" s="356"/>
      <c r="AH8" s="206"/>
      <c r="AI8" s="207"/>
      <c r="AJ8" s="208"/>
      <c r="AK8" s="206"/>
      <c r="AL8" s="207"/>
      <c r="AM8" s="207"/>
      <c r="AN8" s="207"/>
      <c r="AO8" s="207"/>
      <c r="AP8" s="207"/>
      <c r="AQ8" s="207"/>
      <c r="AR8" s="208"/>
      <c r="AS8" s="199"/>
      <c r="AT8" s="200"/>
      <c r="AU8" s="200"/>
      <c r="AV8" s="201"/>
      <c r="AW8" s="202"/>
      <c r="AX8" s="203"/>
      <c r="AY8" s="205"/>
    </row>
    <row r="10" spans="6:9" ht="21" customHeight="1">
      <c r="F10" s="3" t="s">
        <v>15</v>
      </c>
      <c r="G10" s="3"/>
      <c r="H10" s="3"/>
      <c r="I10" s="3"/>
    </row>
    <row r="11" spans="2:47" ht="21" customHeight="1">
      <c r="B11" s="210" t="s">
        <v>212</v>
      </c>
      <c r="C11" s="359" t="s">
        <v>213</v>
      </c>
      <c r="D11" s="360"/>
      <c r="E11" s="211" t="s">
        <v>214</v>
      </c>
      <c r="F11" s="211" t="s">
        <v>22</v>
      </c>
      <c r="G11" s="158" t="s">
        <v>38</v>
      </c>
      <c r="H11" s="152"/>
      <c r="I11" s="153"/>
      <c r="J11" s="361"/>
      <c r="K11" s="148" t="s">
        <v>0</v>
      </c>
      <c r="L11" s="148"/>
      <c r="M11" s="148" t="s">
        <v>120</v>
      </c>
      <c r="N11" s="148"/>
      <c r="O11" s="148" t="s">
        <v>4</v>
      </c>
      <c r="P11" s="148"/>
      <c r="Q11" s="148" t="s">
        <v>5</v>
      </c>
      <c r="R11" s="148"/>
      <c r="S11" s="132" t="s">
        <v>10</v>
      </c>
      <c r="T11" s="132" t="s">
        <v>11</v>
      </c>
      <c r="U11" s="362" t="s">
        <v>215</v>
      </c>
      <c r="V11" s="363"/>
      <c r="W11" s="364"/>
      <c r="X11" s="211" t="s">
        <v>216</v>
      </c>
      <c r="Y11" s="211"/>
      <c r="Z11" s="211"/>
      <c r="AA11" s="211" t="s">
        <v>217</v>
      </c>
      <c r="AB11" s="211"/>
      <c r="AC11" s="211"/>
      <c r="AD11" s="211" t="s">
        <v>218</v>
      </c>
      <c r="AE11" s="211"/>
      <c r="AF11" s="211"/>
      <c r="AG11" s="211" t="s">
        <v>219</v>
      </c>
      <c r="AH11" s="211"/>
      <c r="AI11" s="211"/>
      <c r="AJ11" s="211" t="s">
        <v>220</v>
      </c>
      <c r="AK11" s="211"/>
      <c r="AL11" s="211"/>
      <c r="AM11" s="211" t="s">
        <v>221</v>
      </c>
      <c r="AN11" s="211"/>
      <c r="AO11" s="211"/>
      <c r="AP11" s="211" t="s">
        <v>222</v>
      </c>
      <c r="AQ11" s="211"/>
      <c r="AR11" s="211"/>
      <c r="AS11" s="211" t="s">
        <v>223</v>
      </c>
      <c r="AT11" s="211"/>
      <c r="AU11" s="211"/>
    </row>
    <row r="12" spans="1:47" ht="21" customHeight="1">
      <c r="A12" s="1" t="s">
        <v>135</v>
      </c>
      <c r="B12" s="212"/>
      <c r="C12" s="365"/>
      <c r="D12" s="360" t="s">
        <v>23</v>
      </c>
      <c r="E12" s="211"/>
      <c r="F12" s="211"/>
      <c r="G12" s="5" t="s">
        <v>16</v>
      </c>
      <c r="H12" s="5" t="s">
        <v>17</v>
      </c>
      <c r="I12" s="5" t="s">
        <v>18</v>
      </c>
      <c r="J12" s="5" t="s">
        <v>21</v>
      </c>
      <c r="K12" s="4" t="s">
        <v>59</v>
      </c>
      <c r="L12" s="4" t="s">
        <v>60</v>
      </c>
      <c r="M12" s="366" t="s">
        <v>6</v>
      </c>
      <c r="N12" s="366" t="s">
        <v>7</v>
      </c>
      <c r="O12" s="366" t="s">
        <v>8</v>
      </c>
      <c r="P12" s="366" t="s">
        <v>9</v>
      </c>
      <c r="Q12" s="366" t="s">
        <v>1</v>
      </c>
      <c r="R12" s="366" t="s">
        <v>9</v>
      </c>
      <c r="S12" s="132"/>
      <c r="T12" s="132"/>
      <c r="U12" s="4" t="s">
        <v>224</v>
      </c>
      <c r="V12" s="4" t="s">
        <v>225</v>
      </c>
      <c r="W12" s="4" t="s">
        <v>226</v>
      </c>
      <c r="X12" s="4" t="s">
        <v>224</v>
      </c>
      <c r="Y12" s="4" t="s">
        <v>225</v>
      </c>
      <c r="Z12" s="4" t="s">
        <v>226</v>
      </c>
      <c r="AA12" s="4" t="s">
        <v>224</v>
      </c>
      <c r="AB12" s="4" t="s">
        <v>225</v>
      </c>
      <c r="AC12" s="4" t="s">
        <v>226</v>
      </c>
      <c r="AD12" s="4" t="s">
        <v>224</v>
      </c>
      <c r="AE12" s="4" t="s">
        <v>225</v>
      </c>
      <c r="AF12" s="4" t="s">
        <v>226</v>
      </c>
      <c r="AG12" s="4" t="s">
        <v>224</v>
      </c>
      <c r="AH12" s="4" t="s">
        <v>225</v>
      </c>
      <c r="AI12" s="4" t="s">
        <v>226</v>
      </c>
      <c r="AJ12" s="4" t="s">
        <v>224</v>
      </c>
      <c r="AK12" s="4" t="s">
        <v>225</v>
      </c>
      <c r="AL12" s="4" t="s">
        <v>226</v>
      </c>
      <c r="AM12" s="4" t="s">
        <v>224</v>
      </c>
      <c r="AN12" s="4" t="s">
        <v>225</v>
      </c>
      <c r="AO12" s="4" t="s">
        <v>226</v>
      </c>
      <c r="AP12" s="4" t="s">
        <v>224</v>
      </c>
      <c r="AQ12" s="4" t="s">
        <v>225</v>
      </c>
      <c r="AR12" s="4" t="s">
        <v>226</v>
      </c>
      <c r="AS12" s="4" t="s">
        <v>224</v>
      </c>
      <c r="AT12" s="4" t="s">
        <v>225</v>
      </c>
      <c r="AU12" s="4" t="s">
        <v>226</v>
      </c>
    </row>
    <row r="13" spans="1:47" s="7" customFormat="1" ht="21" customHeight="1" hidden="1" outlineLevel="2">
      <c r="A13" s="367"/>
      <c r="B13" s="244" t="s">
        <v>140</v>
      </c>
      <c r="C13" s="368">
        <v>886</v>
      </c>
      <c r="D13" s="369" t="s">
        <v>227</v>
      </c>
      <c r="E13" s="368"/>
      <c r="F13" s="369" t="s">
        <v>228</v>
      </c>
      <c r="G13" s="244"/>
      <c r="H13" s="244" t="s">
        <v>48</v>
      </c>
      <c r="I13" s="370"/>
      <c r="J13" s="244" t="s">
        <v>229</v>
      </c>
      <c r="K13" s="371">
        <v>0.25</v>
      </c>
      <c r="L13" s="371">
        <f>+K13/12*6</f>
        <v>0.125</v>
      </c>
      <c r="M13" s="372">
        <v>400000000</v>
      </c>
      <c r="N13" s="373">
        <v>400000000</v>
      </c>
      <c r="O13" s="374">
        <v>0</v>
      </c>
      <c r="P13" s="374">
        <v>0</v>
      </c>
      <c r="Q13" s="375">
        <v>0</v>
      </c>
      <c r="R13" s="374">
        <v>0</v>
      </c>
      <c r="S13" s="376" t="s">
        <v>230</v>
      </c>
      <c r="T13" s="376" t="s">
        <v>231</v>
      </c>
      <c r="U13" s="377">
        <f aca="true" t="shared" si="0" ref="U13:V15">+N13</f>
        <v>400000000</v>
      </c>
      <c r="V13" s="377">
        <f t="shared" si="0"/>
        <v>0</v>
      </c>
      <c r="W13" s="378">
        <f>+V13/U13</f>
        <v>0</v>
      </c>
      <c r="X13" s="379"/>
      <c r="Y13" s="379"/>
      <c r="Z13" s="378"/>
      <c r="AA13" s="379"/>
      <c r="AB13" s="379"/>
      <c r="AC13" s="378"/>
      <c r="AD13" s="379"/>
      <c r="AE13" s="379"/>
      <c r="AF13" s="378"/>
      <c r="AG13" s="379"/>
      <c r="AH13" s="379"/>
      <c r="AI13" s="378"/>
      <c r="AJ13" s="379"/>
      <c r="AK13" s="379"/>
      <c r="AL13" s="378"/>
      <c r="AM13" s="379"/>
      <c r="AN13" s="379"/>
      <c r="AO13" s="378"/>
      <c r="AP13" s="379"/>
      <c r="AQ13" s="379"/>
      <c r="AR13" s="378"/>
      <c r="AS13" s="379"/>
      <c r="AT13" s="379"/>
      <c r="AU13" s="378"/>
    </row>
    <row r="14" spans="1:47" s="7" customFormat="1" ht="21" customHeight="1" hidden="1" outlineLevel="2">
      <c r="A14" s="367"/>
      <c r="B14" s="244" t="s">
        <v>140</v>
      </c>
      <c r="C14" s="368">
        <v>886</v>
      </c>
      <c r="D14" s="369" t="s">
        <v>227</v>
      </c>
      <c r="E14" s="368"/>
      <c r="F14" s="369" t="s">
        <v>232</v>
      </c>
      <c r="G14" s="244"/>
      <c r="H14" s="244" t="s">
        <v>48</v>
      </c>
      <c r="I14" s="370"/>
      <c r="J14" s="244" t="s">
        <v>233</v>
      </c>
      <c r="K14" s="371">
        <v>1</v>
      </c>
      <c r="L14" s="371">
        <f>+K14/12*6</f>
        <v>0.5</v>
      </c>
      <c r="M14" s="380">
        <v>44962500</v>
      </c>
      <c r="N14" s="373">
        <v>55848000</v>
      </c>
      <c r="O14" s="374">
        <v>55848000</v>
      </c>
      <c r="P14" s="374">
        <f>5274533+4654000</f>
        <v>9928533</v>
      </c>
      <c r="Q14" s="375">
        <f>122122000-94799467</f>
        <v>27322533</v>
      </c>
      <c r="R14" s="374">
        <v>27322533</v>
      </c>
      <c r="S14" s="376" t="s">
        <v>234</v>
      </c>
      <c r="T14" s="381"/>
      <c r="U14" s="377">
        <f t="shared" si="0"/>
        <v>55848000</v>
      </c>
      <c r="V14" s="377">
        <f t="shared" si="0"/>
        <v>55848000</v>
      </c>
      <c r="W14" s="378">
        <f>+V14/U14</f>
        <v>1</v>
      </c>
      <c r="X14" s="379"/>
      <c r="Y14" s="379"/>
      <c r="Z14" s="378"/>
      <c r="AA14" s="379"/>
      <c r="AB14" s="379"/>
      <c r="AC14" s="378"/>
      <c r="AD14" s="379"/>
      <c r="AE14" s="379"/>
      <c r="AF14" s="378"/>
      <c r="AG14" s="379"/>
      <c r="AH14" s="379"/>
      <c r="AI14" s="378"/>
      <c r="AJ14" s="379"/>
      <c r="AK14" s="379"/>
      <c r="AL14" s="378"/>
      <c r="AM14" s="379"/>
      <c r="AN14" s="379"/>
      <c r="AO14" s="378"/>
      <c r="AP14" s="379"/>
      <c r="AQ14" s="379"/>
      <c r="AR14" s="378"/>
      <c r="AS14" s="379"/>
      <c r="AT14" s="379"/>
      <c r="AU14" s="378"/>
    </row>
    <row r="15" spans="1:47" s="7" customFormat="1" ht="21" customHeight="1" hidden="1" outlineLevel="2">
      <c r="A15" s="367"/>
      <c r="B15" s="244" t="s">
        <v>140</v>
      </c>
      <c r="C15" s="368">
        <v>886</v>
      </c>
      <c r="D15" s="369" t="s">
        <v>227</v>
      </c>
      <c r="E15" s="368"/>
      <c r="F15" s="369" t="s">
        <v>235</v>
      </c>
      <c r="G15" s="244"/>
      <c r="H15" s="244" t="s">
        <v>48</v>
      </c>
      <c r="I15" s="370"/>
      <c r="J15" s="244" t="s">
        <v>236</v>
      </c>
      <c r="K15" s="371">
        <v>1</v>
      </c>
      <c r="L15" s="371">
        <f>+K15/12*6</f>
        <v>0.5</v>
      </c>
      <c r="M15" s="380">
        <v>79054500</v>
      </c>
      <c r="N15" s="373">
        <v>79054500</v>
      </c>
      <c r="O15" s="374">
        <v>0</v>
      </c>
      <c r="P15" s="374">
        <v>0</v>
      </c>
      <c r="Q15" s="375">
        <v>0</v>
      </c>
      <c r="R15" s="374">
        <v>0</v>
      </c>
      <c r="S15" s="376" t="s">
        <v>237</v>
      </c>
      <c r="T15" s="382"/>
      <c r="U15" s="377">
        <f t="shared" si="0"/>
        <v>79054500</v>
      </c>
      <c r="V15" s="377">
        <f t="shared" si="0"/>
        <v>0</v>
      </c>
      <c r="W15" s="378">
        <f>+V15/U15</f>
        <v>0</v>
      </c>
      <c r="X15" s="379"/>
      <c r="Y15" s="379"/>
      <c r="Z15" s="378">
        <f>IF(X15=0,"",Y15/X15)</f>
      </c>
      <c r="AA15" s="379"/>
      <c r="AB15" s="379"/>
      <c r="AC15" s="378">
        <f>IF(AA15=0,"",AB15/AA15)</f>
      </c>
      <c r="AD15" s="379"/>
      <c r="AE15" s="379"/>
      <c r="AF15" s="378">
        <f>IF(AD15=0,"",AE15/AD15)</f>
      </c>
      <c r="AG15" s="379"/>
      <c r="AH15" s="379"/>
      <c r="AI15" s="378">
        <f>IF(AG15=0,"",AH15/AG15)</f>
      </c>
      <c r="AJ15" s="379"/>
      <c r="AK15" s="379"/>
      <c r="AL15" s="378">
        <f>IF(AJ15=0,"",AK15/AJ15)</f>
      </c>
      <c r="AM15" s="379"/>
      <c r="AN15" s="379"/>
      <c r="AO15" s="378">
        <f>IF(AM15=0,"",AN15/AM15)</f>
      </c>
      <c r="AP15" s="379"/>
      <c r="AQ15" s="379"/>
      <c r="AR15" s="378">
        <f>IF(AP15=0,"",AQ15/AP15)</f>
      </c>
      <c r="AS15" s="379"/>
      <c r="AT15" s="379"/>
      <c r="AU15" s="378">
        <f>IF(AS15=0,"",AT15/AS15)</f>
      </c>
    </row>
    <row r="16" spans="1:47" s="395" customFormat="1" ht="15" customHeight="1" hidden="1" outlineLevel="1">
      <c r="A16" s="383"/>
      <c r="B16" s="384"/>
      <c r="C16" s="385"/>
      <c r="D16" s="385">
        <v>1</v>
      </c>
      <c r="E16" s="385"/>
      <c r="F16" s="386"/>
      <c r="G16" s="386"/>
      <c r="H16" s="386"/>
      <c r="I16" s="386"/>
      <c r="J16" s="385"/>
      <c r="K16" s="385"/>
      <c r="L16" s="387"/>
      <c r="M16" s="388">
        <f aca="true" t="shared" si="1" ref="M16:R16">SUM(M13:M15)</f>
        <v>524017000</v>
      </c>
      <c r="N16" s="388">
        <f t="shared" si="1"/>
        <v>534902500</v>
      </c>
      <c r="O16" s="389">
        <f t="shared" si="1"/>
        <v>55848000</v>
      </c>
      <c r="P16" s="389">
        <f t="shared" si="1"/>
        <v>9928533</v>
      </c>
      <c r="Q16" s="389">
        <f t="shared" si="1"/>
        <v>27322533</v>
      </c>
      <c r="R16" s="389">
        <f t="shared" si="1"/>
        <v>27322533</v>
      </c>
      <c r="S16" s="390"/>
      <c r="T16" s="391"/>
      <c r="U16" s="392">
        <f>SUM(U13:U15)</f>
        <v>534902500</v>
      </c>
      <c r="V16" s="392">
        <f>SUM(V13:V15)</f>
        <v>55848000</v>
      </c>
      <c r="W16" s="393">
        <f>SUM(W13:W15)</f>
        <v>1</v>
      </c>
      <c r="X16" s="385"/>
      <c r="Y16" s="385"/>
      <c r="Z16" s="394"/>
      <c r="AA16" s="385"/>
      <c r="AB16" s="385"/>
      <c r="AC16" s="394"/>
      <c r="AD16" s="385"/>
      <c r="AE16" s="385"/>
      <c r="AF16" s="394"/>
      <c r="AG16" s="385"/>
      <c r="AH16" s="385"/>
      <c r="AI16" s="394"/>
      <c r="AJ16" s="385"/>
      <c r="AK16" s="385"/>
      <c r="AL16" s="394"/>
      <c r="AM16" s="385"/>
      <c r="AN16" s="385"/>
      <c r="AO16" s="394"/>
      <c r="AP16" s="385"/>
      <c r="AQ16" s="385"/>
      <c r="AR16" s="394"/>
      <c r="AS16" s="385"/>
      <c r="AT16" s="385"/>
      <c r="AU16" s="394"/>
    </row>
    <row r="17" spans="1:47" s="7" customFormat="1" ht="21" customHeight="1" hidden="1" outlineLevel="2">
      <c r="A17" s="367"/>
      <c r="B17" s="244" t="s">
        <v>166</v>
      </c>
      <c r="C17" s="368">
        <v>886</v>
      </c>
      <c r="D17" s="369" t="s">
        <v>168</v>
      </c>
      <c r="E17" s="368"/>
      <c r="F17" s="369" t="s">
        <v>238</v>
      </c>
      <c r="G17" s="244"/>
      <c r="H17" s="244" t="s">
        <v>48</v>
      </c>
      <c r="I17" s="370"/>
      <c r="J17" s="396" t="s">
        <v>239</v>
      </c>
      <c r="K17" s="371">
        <v>0.25</v>
      </c>
      <c r="L17" s="371">
        <v>0.125</v>
      </c>
      <c r="M17" s="380">
        <v>0</v>
      </c>
      <c r="N17" s="373">
        <v>0</v>
      </c>
      <c r="O17" s="374">
        <v>0</v>
      </c>
      <c r="P17" s="374">
        <v>0</v>
      </c>
      <c r="Q17" s="375">
        <f>205732500-124458500</f>
        <v>81274000</v>
      </c>
      <c r="R17" s="374">
        <f>44167000+31641833-4514600</f>
        <v>71294233</v>
      </c>
      <c r="S17" s="397" t="s">
        <v>240</v>
      </c>
      <c r="T17" s="398"/>
      <c r="U17" s="377">
        <f aca="true" t="shared" si="2" ref="U17:V20">+N17</f>
        <v>0</v>
      </c>
      <c r="V17" s="377">
        <f t="shared" si="2"/>
        <v>0</v>
      </c>
      <c r="W17" s="378" t="e">
        <f>+V17/U17</f>
        <v>#DIV/0!</v>
      </c>
      <c r="X17" s="379"/>
      <c r="Y17" s="379"/>
      <c r="Z17" s="378">
        <f>IF(X17=0,"",Y17/X17)</f>
      </c>
      <c r="AA17" s="379"/>
      <c r="AB17" s="379"/>
      <c r="AC17" s="378">
        <f>IF(AA17=0,"",AB17/AA17)</f>
      </c>
      <c r="AD17" s="379"/>
      <c r="AE17" s="379"/>
      <c r="AF17" s="378">
        <f>IF(AD17=0,"",AE17/AD17)</f>
      </c>
      <c r="AG17" s="379"/>
      <c r="AH17" s="379"/>
      <c r="AI17" s="378">
        <f>IF(AG17=0,"",AH17/AG17)</f>
      </c>
      <c r="AJ17" s="379"/>
      <c r="AK17" s="379"/>
      <c r="AL17" s="378">
        <f>IF(AJ17=0,"",AK17/AJ17)</f>
      </c>
      <c r="AM17" s="379"/>
      <c r="AN17" s="379"/>
      <c r="AO17" s="378">
        <f>IF(AM17=0,"",AN17/AM17)</f>
      </c>
      <c r="AP17" s="379"/>
      <c r="AQ17" s="379"/>
      <c r="AR17" s="378">
        <f>IF(AP17=0,"",AQ17/AP17)</f>
      </c>
      <c r="AS17" s="379"/>
      <c r="AT17" s="379"/>
      <c r="AU17" s="378">
        <f>IF(AS17=0,"",AT17/AS17)</f>
      </c>
    </row>
    <row r="18" spans="1:47" s="7" customFormat="1" ht="21" customHeight="1" hidden="1" outlineLevel="2">
      <c r="A18" s="367"/>
      <c r="B18" s="244" t="s">
        <v>166</v>
      </c>
      <c r="C18" s="368">
        <v>886</v>
      </c>
      <c r="D18" s="369" t="s">
        <v>168</v>
      </c>
      <c r="E18" s="368"/>
      <c r="F18" s="369" t="s">
        <v>241</v>
      </c>
      <c r="G18" s="244"/>
      <c r="H18" s="244" t="s">
        <v>48</v>
      </c>
      <c r="I18" s="370"/>
      <c r="J18" s="396" t="s">
        <v>242</v>
      </c>
      <c r="K18" s="371">
        <v>0.25</v>
      </c>
      <c r="L18" s="371">
        <v>0.125</v>
      </c>
      <c r="M18" s="380">
        <v>0</v>
      </c>
      <c r="N18" s="373">
        <v>0</v>
      </c>
      <c r="O18" s="374">
        <v>0</v>
      </c>
      <c r="P18" s="374">
        <v>0</v>
      </c>
      <c r="Q18" s="375">
        <v>0</v>
      </c>
      <c r="R18" s="374">
        <v>0</v>
      </c>
      <c r="S18" s="398" t="s">
        <v>243</v>
      </c>
      <c r="T18" s="399" t="s">
        <v>244</v>
      </c>
      <c r="U18" s="377">
        <f t="shared" si="2"/>
        <v>0</v>
      </c>
      <c r="V18" s="377">
        <f t="shared" si="2"/>
        <v>0</v>
      </c>
      <c r="W18" s="378" t="e">
        <f>+V18/U18</f>
        <v>#DIV/0!</v>
      </c>
      <c r="X18" s="379"/>
      <c r="Y18" s="379"/>
      <c r="Z18" s="378"/>
      <c r="AA18" s="379"/>
      <c r="AB18" s="379"/>
      <c r="AC18" s="378"/>
      <c r="AD18" s="379"/>
      <c r="AE18" s="379"/>
      <c r="AF18" s="378"/>
      <c r="AG18" s="379"/>
      <c r="AH18" s="379"/>
      <c r="AI18" s="378"/>
      <c r="AJ18" s="379"/>
      <c r="AK18" s="379"/>
      <c r="AL18" s="378"/>
      <c r="AM18" s="379"/>
      <c r="AN18" s="379"/>
      <c r="AO18" s="378"/>
      <c r="AP18" s="379"/>
      <c r="AQ18" s="379"/>
      <c r="AR18" s="378"/>
      <c r="AS18" s="379"/>
      <c r="AT18" s="379"/>
      <c r="AU18" s="378"/>
    </row>
    <row r="19" spans="1:47" s="7" customFormat="1" ht="21" customHeight="1" hidden="1" outlineLevel="2">
      <c r="A19" s="367"/>
      <c r="B19" s="244" t="s">
        <v>166</v>
      </c>
      <c r="C19" s="368">
        <v>886</v>
      </c>
      <c r="D19" s="369" t="s">
        <v>168</v>
      </c>
      <c r="E19" s="368"/>
      <c r="F19" s="369" t="s">
        <v>245</v>
      </c>
      <c r="G19" s="244"/>
      <c r="H19" s="244" t="s">
        <v>48</v>
      </c>
      <c r="I19" s="370"/>
      <c r="J19" s="396" t="s">
        <v>246</v>
      </c>
      <c r="K19" s="371">
        <v>0.25</v>
      </c>
      <c r="L19" s="371">
        <v>0.125</v>
      </c>
      <c r="M19" s="380">
        <v>0</v>
      </c>
      <c r="N19" s="373">
        <v>169534000</v>
      </c>
      <c r="O19" s="374">
        <v>0</v>
      </c>
      <c r="P19" s="374">
        <v>0</v>
      </c>
      <c r="Q19" s="375">
        <f>219646000-167070166</f>
        <v>52575834</v>
      </c>
      <c r="R19" s="374">
        <f>32155000+20420834</f>
        <v>52575834</v>
      </c>
      <c r="S19" s="400" t="s">
        <v>247</v>
      </c>
      <c r="T19" s="399"/>
      <c r="U19" s="377">
        <f t="shared" si="2"/>
        <v>169534000</v>
      </c>
      <c r="V19" s="377">
        <f t="shared" si="2"/>
        <v>0</v>
      </c>
      <c r="W19" s="378">
        <f>+V19/U19</f>
        <v>0</v>
      </c>
      <c r="X19" s="379"/>
      <c r="Y19" s="379"/>
      <c r="Z19" s="378"/>
      <c r="AA19" s="379"/>
      <c r="AB19" s="379"/>
      <c r="AC19" s="378"/>
      <c r="AD19" s="379"/>
      <c r="AE19" s="379"/>
      <c r="AF19" s="378"/>
      <c r="AG19" s="379"/>
      <c r="AH19" s="379"/>
      <c r="AI19" s="378"/>
      <c r="AJ19" s="379"/>
      <c r="AK19" s="379"/>
      <c r="AL19" s="378"/>
      <c r="AM19" s="379"/>
      <c r="AN19" s="379"/>
      <c r="AO19" s="378"/>
      <c r="AP19" s="379"/>
      <c r="AQ19" s="379"/>
      <c r="AR19" s="378"/>
      <c r="AS19" s="379"/>
      <c r="AT19" s="379"/>
      <c r="AU19" s="378"/>
    </row>
    <row r="20" spans="1:47" s="7" customFormat="1" ht="21" customHeight="1" hidden="1" outlineLevel="1">
      <c r="A20" s="401"/>
      <c r="B20" s="244" t="s">
        <v>166</v>
      </c>
      <c r="C20" s="368">
        <v>886</v>
      </c>
      <c r="D20" s="369" t="s">
        <v>168</v>
      </c>
      <c r="E20" s="368"/>
      <c r="F20" s="369" t="s">
        <v>248</v>
      </c>
      <c r="G20" s="244"/>
      <c r="H20" s="244" t="s">
        <v>48</v>
      </c>
      <c r="I20" s="370"/>
      <c r="J20" s="396" t="s">
        <v>249</v>
      </c>
      <c r="K20" s="371">
        <v>0.25</v>
      </c>
      <c r="L20" s="371">
        <v>0.125</v>
      </c>
      <c r="M20" s="402">
        <v>870480000</v>
      </c>
      <c r="N20" s="373">
        <v>656626000</v>
      </c>
      <c r="O20" s="374">
        <v>336609120</v>
      </c>
      <c r="P20" s="374">
        <v>29204400</v>
      </c>
      <c r="Q20" s="375">
        <f>132938600-105012300</f>
        <v>27926300</v>
      </c>
      <c r="R20" s="374">
        <v>27038300</v>
      </c>
      <c r="S20" s="403" t="s">
        <v>250</v>
      </c>
      <c r="T20" s="398" t="s">
        <v>251</v>
      </c>
      <c r="U20" s="377">
        <f t="shared" si="2"/>
        <v>656626000</v>
      </c>
      <c r="V20" s="377">
        <f t="shared" si="2"/>
        <v>336609120</v>
      </c>
      <c r="W20" s="378">
        <f>+V20/U20</f>
        <v>0.5126344677183053</v>
      </c>
      <c r="X20" s="379"/>
      <c r="Y20" s="379"/>
      <c r="Z20" s="378"/>
      <c r="AA20" s="379"/>
      <c r="AB20" s="379"/>
      <c r="AC20" s="378"/>
      <c r="AD20" s="379"/>
      <c r="AE20" s="379"/>
      <c r="AF20" s="378"/>
      <c r="AG20" s="379"/>
      <c r="AH20" s="379"/>
      <c r="AI20" s="378"/>
      <c r="AJ20" s="379"/>
      <c r="AK20" s="379"/>
      <c r="AL20" s="378"/>
      <c r="AM20" s="379"/>
      <c r="AN20" s="379"/>
      <c r="AO20" s="378"/>
      <c r="AP20" s="379"/>
      <c r="AQ20" s="379"/>
      <c r="AR20" s="378"/>
      <c r="AS20" s="379"/>
      <c r="AT20" s="379"/>
      <c r="AU20" s="378"/>
    </row>
    <row r="21" spans="1:47" s="395" customFormat="1" ht="17.25" customHeight="1" hidden="1" outlineLevel="1">
      <c r="A21" s="383"/>
      <c r="B21" s="384"/>
      <c r="C21" s="385"/>
      <c r="D21" s="385">
        <v>2</v>
      </c>
      <c r="E21" s="385"/>
      <c r="F21" s="386"/>
      <c r="G21" s="386"/>
      <c r="H21" s="386"/>
      <c r="I21" s="386"/>
      <c r="J21" s="385"/>
      <c r="K21" s="385"/>
      <c r="L21" s="387"/>
      <c r="M21" s="388">
        <f aca="true" t="shared" si="3" ref="M21:R21">SUM(M17:M20)</f>
        <v>870480000</v>
      </c>
      <c r="N21" s="388">
        <f t="shared" si="3"/>
        <v>826160000</v>
      </c>
      <c r="O21" s="389">
        <f t="shared" si="3"/>
        <v>336609120</v>
      </c>
      <c r="P21" s="389">
        <f t="shared" si="3"/>
        <v>29204400</v>
      </c>
      <c r="Q21" s="389">
        <f t="shared" si="3"/>
        <v>161776134</v>
      </c>
      <c r="R21" s="389">
        <f t="shared" si="3"/>
        <v>150908367</v>
      </c>
      <c r="S21" s="390"/>
      <c r="T21" s="391"/>
      <c r="U21" s="392">
        <f>SUM(U17:U20)</f>
        <v>826160000</v>
      </c>
      <c r="V21" s="392">
        <f>SUM(V17:V20)</f>
        <v>336609120</v>
      </c>
      <c r="W21" s="393" t="e">
        <f>SUM(W17:W20)</f>
        <v>#DIV/0!</v>
      </c>
      <c r="X21" s="385"/>
      <c r="Y21" s="385"/>
      <c r="Z21" s="394"/>
      <c r="AA21" s="385"/>
      <c r="AB21" s="385"/>
      <c r="AC21" s="394"/>
      <c r="AD21" s="385"/>
      <c r="AE21" s="385"/>
      <c r="AF21" s="394"/>
      <c r="AG21" s="385"/>
      <c r="AH21" s="385"/>
      <c r="AI21" s="394"/>
      <c r="AJ21" s="385"/>
      <c r="AK21" s="385"/>
      <c r="AL21" s="394"/>
      <c r="AM21" s="385"/>
      <c r="AN21" s="385"/>
      <c r="AO21" s="394"/>
      <c r="AP21" s="385"/>
      <c r="AQ21" s="385"/>
      <c r="AR21" s="394"/>
      <c r="AS21" s="385"/>
      <c r="AT21" s="385"/>
      <c r="AU21" s="394"/>
    </row>
    <row r="22" spans="1:47" s="7" customFormat="1" ht="40.5" customHeight="1" hidden="1" outlineLevel="2">
      <c r="A22" s="367"/>
      <c r="B22" s="244" t="s">
        <v>175</v>
      </c>
      <c r="C22" s="368">
        <v>886</v>
      </c>
      <c r="D22" s="369" t="s">
        <v>176</v>
      </c>
      <c r="E22" s="368"/>
      <c r="F22" s="369" t="s">
        <v>252</v>
      </c>
      <c r="G22" s="244"/>
      <c r="H22" s="244" t="s">
        <v>48</v>
      </c>
      <c r="I22" s="370"/>
      <c r="J22" s="244" t="s">
        <v>253</v>
      </c>
      <c r="K22" s="371">
        <v>1</v>
      </c>
      <c r="L22" s="371">
        <f>+K22/12*6</f>
        <v>0.5</v>
      </c>
      <c r="M22" s="402">
        <v>0</v>
      </c>
      <c r="N22" s="373">
        <v>0</v>
      </c>
      <c r="O22" s="374">
        <v>0</v>
      </c>
      <c r="P22" s="374">
        <v>0</v>
      </c>
      <c r="Q22" s="375">
        <v>0</v>
      </c>
      <c r="R22" s="374">
        <v>0</v>
      </c>
      <c r="S22" s="376" t="s">
        <v>254</v>
      </c>
      <c r="T22" s="381"/>
      <c r="U22" s="377">
        <f>+N22</f>
        <v>0</v>
      </c>
      <c r="V22" s="377">
        <f>+O22</f>
        <v>0</v>
      </c>
      <c r="W22" s="378" t="e">
        <f>+V22/U22</f>
        <v>#DIV/0!</v>
      </c>
      <c r="X22" s="379"/>
      <c r="Y22" s="379"/>
      <c r="Z22" s="378"/>
      <c r="AA22" s="379"/>
      <c r="AB22" s="379"/>
      <c r="AC22" s="378"/>
      <c r="AD22" s="379"/>
      <c r="AE22" s="379"/>
      <c r="AF22" s="378"/>
      <c r="AG22" s="379"/>
      <c r="AH22" s="379"/>
      <c r="AI22" s="378"/>
      <c r="AJ22" s="379"/>
      <c r="AK22" s="379"/>
      <c r="AL22" s="378"/>
      <c r="AM22" s="379"/>
      <c r="AN22" s="379"/>
      <c r="AO22" s="378"/>
      <c r="AP22" s="379"/>
      <c r="AQ22" s="379"/>
      <c r="AR22" s="378"/>
      <c r="AS22" s="379"/>
      <c r="AT22" s="379"/>
      <c r="AU22" s="378"/>
    </row>
    <row r="23" spans="1:47" s="7" customFormat="1" ht="41.25" customHeight="1" hidden="1" outlineLevel="2">
      <c r="A23" s="367"/>
      <c r="B23" s="244" t="s">
        <v>175</v>
      </c>
      <c r="C23" s="368">
        <v>886</v>
      </c>
      <c r="D23" s="369" t="s">
        <v>176</v>
      </c>
      <c r="E23" s="368"/>
      <c r="F23" s="369" t="s">
        <v>255</v>
      </c>
      <c r="G23" s="244"/>
      <c r="H23" s="244" t="s">
        <v>48</v>
      </c>
      <c r="I23" s="370"/>
      <c r="J23" s="244" t="s">
        <v>256</v>
      </c>
      <c r="K23" s="371">
        <v>1</v>
      </c>
      <c r="L23" s="371">
        <f>+K23/12*6</f>
        <v>0.5</v>
      </c>
      <c r="M23" s="402">
        <v>2548412860</v>
      </c>
      <c r="N23" s="373">
        <f>3044230800-835000-7515000</f>
        <v>3035880800</v>
      </c>
      <c r="O23" s="374">
        <f>2264263720-32722000+191630000</f>
        <v>2423171720</v>
      </c>
      <c r="P23" s="374">
        <f>197338605+157704300</f>
        <v>355042905</v>
      </c>
      <c r="Q23" s="375">
        <f>963832220-726858741</f>
        <v>236973479</v>
      </c>
      <c r="R23" s="374">
        <v>195795419</v>
      </c>
      <c r="S23" s="376" t="s">
        <v>257</v>
      </c>
      <c r="T23" s="381"/>
      <c r="U23" s="377">
        <f>+N23</f>
        <v>3035880800</v>
      </c>
      <c r="V23" s="377">
        <f>+O23</f>
        <v>2423171720</v>
      </c>
      <c r="W23" s="378">
        <f>+V23/U23</f>
        <v>0.7981774910266569</v>
      </c>
      <c r="X23" s="379"/>
      <c r="Y23" s="379"/>
      <c r="Z23" s="378"/>
      <c r="AA23" s="379"/>
      <c r="AB23" s="379"/>
      <c r="AC23" s="378"/>
      <c r="AD23" s="379"/>
      <c r="AE23" s="379"/>
      <c r="AF23" s="378"/>
      <c r="AG23" s="379"/>
      <c r="AH23" s="379"/>
      <c r="AI23" s="378"/>
      <c r="AJ23" s="379"/>
      <c r="AK23" s="379"/>
      <c r="AL23" s="378"/>
      <c r="AM23" s="379"/>
      <c r="AN23" s="379"/>
      <c r="AO23" s="378"/>
      <c r="AP23" s="379"/>
      <c r="AQ23" s="379"/>
      <c r="AR23" s="378"/>
      <c r="AS23" s="379"/>
      <c r="AT23" s="379"/>
      <c r="AU23" s="378"/>
    </row>
    <row r="24" spans="1:47" s="395" customFormat="1" ht="12.75" customHeight="1" hidden="1" outlineLevel="1">
      <c r="A24" s="383"/>
      <c r="B24" s="384"/>
      <c r="C24" s="385"/>
      <c r="D24" s="385">
        <v>3</v>
      </c>
      <c r="E24" s="385"/>
      <c r="F24" s="386"/>
      <c r="G24" s="386"/>
      <c r="H24" s="386"/>
      <c r="I24" s="386"/>
      <c r="J24" s="385"/>
      <c r="K24" s="385"/>
      <c r="L24" s="387"/>
      <c r="M24" s="388">
        <f aca="true" t="shared" si="4" ref="M24:R24">SUM(M22:M23)</f>
        <v>2548412860</v>
      </c>
      <c r="N24" s="388">
        <f t="shared" si="4"/>
        <v>3035880800</v>
      </c>
      <c r="O24" s="389">
        <f t="shared" si="4"/>
        <v>2423171720</v>
      </c>
      <c r="P24" s="389">
        <f t="shared" si="4"/>
        <v>355042905</v>
      </c>
      <c r="Q24" s="389">
        <f t="shared" si="4"/>
        <v>236973479</v>
      </c>
      <c r="R24" s="389">
        <f t="shared" si="4"/>
        <v>195795419</v>
      </c>
      <c r="S24" s="390"/>
      <c r="T24" s="391"/>
      <c r="U24" s="392">
        <f>SUM(U22:U23)</f>
        <v>3035880800</v>
      </c>
      <c r="V24" s="392">
        <f>SUM(V22:V23)</f>
        <v>2423171720</v>
      </c>
      <c r="W24" s="393" t="e">
        <f>SUM(W22:W23)</f>
        <v>#DIV/0!</v>
      </c>
      <c r="X24" s="385"/>
      <c r="Y24" s="385"/>
      <c r="Z24" s="394"/>
      <c r="AA24" s="385"/>
      <c r="AB24" s="385"/>
      <c r="AC24" s="394"/>
      <c r="AD24" s="385"/>
      <c r="AE24" s="385"/>
      <c r="AF24" s="394"/>
      <c r="AG24" s="385"/>
      <c r="AH24" s="385"/>
      <c r="AI24" s="394"/>
      <c r="AJ24" s="385"/>
      <c r="AK24" s="385"/>
      <c r="AL24" s="394"/>
      <c r="AM24" s="385"/>
      <c r="AN24" s="385"/>
      <c r="AO24" s="394"/>
      <c r="AP24" s="385"/>
      <c r="AQ24" s="385"/>
      <c r="AR24" s="394"/>
      <c r="AS24" s="385"/>
      <c r="AT24" s="385"/>
      <c r="AU24" s="394"/>
    </row>
    <row r="25" spans="1:47" s="7" customFormat="1" ht="21" customHeight="1" hidden="1" outlineLevel="1">
      <c r="A25" s="401"/>
      <c r="B25" s="244" t="s">
        <v>182</v>
      </c>
      <c r="C25" s="368">
        <v>886</v>
      </c>
      <c r="D25" s="369" t="s">
        <v>70</v>
      </c>
      <c r="E25" s="368"/>
      <c r="F25" s="369" t="s">
        <v>258</v>
      </c>
      <c r="G25" s="244"/>
      <c r="H25" s="244" t="s">
        <v>48</v>
      </c>
      <c r="I25" s="370"/>
      <c r="J25" s="244" t="s">
        <v>259</v>
      </c>
      <c r="K25" s="371">
        <v>1</v>
      </c>
      <c r="L25" s="371">
        <f>+K25/12*6</f>
        <v>0.5</v>
      </c>
      <c r="M25" s="402">
        <v>82450000</v>
      </c>
      <c r="N25" s="373">
        <v>79152000</v>
      </c>
      <c r="O25" s="374">
        <v>79152000</v>
      </c>
      <c r="P25" s="374">
        <f>14511200+6596000</f>
        <v>21107200</v>
      </c>
      <c r="Q25" s="375">
        <f>65182500-58239300</f>
        <v>6943200</v>
      </c>
      <c r="R25" s="374">
        <f>6312000+631200</f>
        <v>6943200</v>
      </c>
      <c r="S25" s="376" t="s">
        <v>260</v>
      </c>
      <c r="T25" s="381"/>
      <c r="U25" s="377">
        <f aca="true" t="shared" si="5" ref="U25:V34">+N25</f>
        <v>79152000</v>
      </c>
      <c r="V25" s="377">
        <f t="shared" si="5"/>
        <v>79152000</v>
      </c>
      <c r="W25" s="378">
        <f aca="true" t="shared" si="6" ref="W25:W38">+V25/U25</f>
        <v>1</v>
      </c>
      <c r="X25" s="379"/>
      <c r="Y25" s="379"/>
      <c r="Z25" s="378"/>
      <c r="AA25" s="379"/>
      <c r="AB25" s="379"/>
      <c r="AC25" s="378"/>
      <c r="AD25" s="379"/>
      <c r="AE25" s="379"/>
      <c r="AF25" s="378"/>
      <c r="AG25" s="379"/>
      <c r="AH25" s="379"/>
      <c r="AI25" s="378"/>
      <c r="AJ25" s="379"/>
      <c r="AK25" s="379"/>
      <c r="AL25" s="378"/>
      <c r="AM25" s="379"/>
      <c r="AN25" s="379"/>
      <c r="AO25" s="378"/>
      <c r="AP25" s="379"/>
      <c r="AQ25" s="379"/>
      <c r="AR25" s="378"/>
      <c r="AS25" s="379"/>
      <c r="AT25" s="379"/>
      <c r="AU25" s="378"/>
    </row>
    <row r="26" spans="1:47" s="7" customFormat="1" ht="77.25" customHeight="1" hidden="1" outlineLevel="1">
      <c r="A26" s="401"/>
      <c r="B26" s="244" t="s">
        <v>182</v>
      </c>
      <c r="C26" s="368">
        <v>886</v>
      </c>
      <c r="D26" s="369" t="s">
        <v>70</v>
      </c>
      <c r="E26" s="368"/>
      <c r="F26" s="369" t="s">
        <v>261</v>
      </c>
      <c r="G26" s="244"/>
      <c r="H26" s="244" t="s">
        <v>48</v>
      </c>
      <c r="I26" s="370"/>
      <c r="J26" s="244" t="s">
        <v>262</v>
      </c>
      <c r="K26" s="404">
        <v>18</v>
      </c>
      <c r="L26" s="405">
        <v>18</v>
      </c>
      <c r="M26" s="402">
        <v>526830500</v>
      </c>
      <c r="N26" s="373">
        <v>506880500</v>
      </c>
      <c r="O26" s="374">
        <v>483660500</v>
      </c>
      <c r="P26" s="374">
        <f>63633267+45345400</f>
        <v>108978667</v>
      </c>
      <c r="Q26" s="375">
        <f>302002500-236731467</f>
        <v>65271033</v>
      </c>
      <c r="R26" s="374">
        <v>52380067</v>
      </c>
      <c r="S26" s="376" t="s">
        <v>263</v>
      </c>
      <c r="T26" s="381"/>
      <c r="U26" s="377">
        <f t="shared" si="5"/>
        <v>506880500</v>
      </c>
      <c r="V26" s="377">
        <f t="shared" si="5"/>
        <v>483660500</v>
      </c>
      <c r="W26" s="378">
        <f t="shared" si="6"/>
        <v>0.9541903860969203</v>
      </c>
      <c r="X26" s="379"/>
      <c r="Y26" s="379"/>
      <c r="Z26" s="378"/>
      <c r="AA26" s="379"/>
      <c r="AB26" s="379"/>
      <c r="AC26" s="378"/>
      <c r="AD26" s="379"/>
      <c r="AE26" s="379"/>
      <c r="AF26" s="378"/>
      <c r="AG26" s="379"/>
      <c r="AH26" s="379"/>
      <c r="AI26" s="378"/>
      <c r="AJ26" s="379"/>
      <c r="AK26" s="379"/>
      <c r="AL26" s="378"/>
      <c r="AM26" s="379"/>
      <c r="AN26" s="379"/>
      <c r="AO26" s="378"/>
      <c r="AP26" s="379"/>
      <c r="AQ26" s="379"/>
      <c r="AR26" s="378"/>
      <c r="AS26" s="379"/>
      <c r="AT26" s="379"/>
      <c r="AU26" s="378"/>
    </row>
    <row r="27" spans="1:47" s="7" customFormat="1" ht="45" customHeight="1" hidden="1" outlineLevel="1">
      <c r="A27" s="401"/>
      <c r="B27" s="244" t="s">
        <v>182</v>
      </c>
      <c r="C27" s="368">
        <v>886</v>
      </c>
      <c r="D27" s="369" t="s">
        <v>70</v>
      </c>
      <c r="E27" s="368"/>
      <c r="F27" s="369" t="s">
        <v>264</v>
      </c>
      <c r="G27" s="244"/>
      <c r="H27" s="244" t="s">
        <v>48</v>
      </c>
      <c r="I27" s="370"/>
      <c r="J27" s="244" t="s">
        <v>265</v>
      </c>
      <c r="K27" s="404">
        <v>170</v>
      </c>
      <c r="L27" s="406" t="s">
        <v>266</v>
      </c>
      <c r="M27" s="402">
        <v>169686860</v>
      </c>
      <c r="N27" s="373">
        <v>166916860</v>
      </c>
      <c r="O27" s="374">
        <v>166916860</v>
      </c>
      <c r="P27" s="374">
        <f>24102249+5540000</f>
        <v>29642249</v>
      </c>
      <c r="Q27" s="375">
        <f>49645500-42577500</f>
        <v>7068000</v>
      </c>
      <c r="R27" s="374">
        <f>5301000+1767000</f>
        <v>7068000</v>
      </c>
      <c r="S27" s="376" t="s">
        <v>267</v>
      </c>
      <c r="T27" s="381"/>
      <c r="U27" s="377">
        <f t="shared" si="5"/>
        <v>166916860</v>
      </c>
      <c r="V27" s="377">
        <f t="shared" si="5"/>
        <v>166916860</v>
      </c>
      <c r="W27" s="378">
        <f t="shared" si="6"/>
        <v>1</v>
      </c>
      <c r="X27" s="379"/>
      <c r="Y27" s="379"/>
      <c r="Z27" s="378"/>
      <c r="AA27" s="379"/>
      <c r="AB27" s="379"/>
      <c r="AC27" s="378"/>
      <c r="AD27" s="379"/>
      <c r="AE27" s="379"/>
      <c r="AF27" s="378"/>
      <c r="AG27" s="379"/>
      <c r="AH27" s="379"/>
      <c r="AI27" s="378"/>
      <c r="AJ27" s="379"/>
      <c r="AK27" s="379"/>
      <c r="AL27" s="378"/>
      <c r="AM27" s="379"/>
      <c r="AN27" s="379"/>
      <c r="AO27" s="378"/>
      <c r="AP27" s="379"/>
      <c r="AQ27" s="379"/>
      <c r="AR27" s="378"/>
      <c r="AS27" s="379"/>
      <c r="AT27" s="379"/>
      <c r="AU27" s="378"/>
    </row>
    <row r="28" spans="1:47" s="7" customFormat="1" ht="80.25" customHeight="1" hidden="1" outlineLevel="1">
      <c r="A28" s="401"/>
      <c r="B28" s="244" t="s">
        <v>182</v>
      </c>
      <c r="C28" s="368">
        <v>886</v>
      </c>
      <c r="D28" s="369" t="s">
        <v>70</v>
      </c>
      <c r="E28" s="368"/>
      <c r="F28" s="369" t="s">
        <v>268</v>
      </c>
      <c r="G28" s="244"/>
      <c r="H28" s="244" t="s">
        <v>48</v>
      </c>
      <c r="I28" s="370"/>
      <c r="J28" s="244" t="s">
        <v>269</v>
      </c>
      <c r="K28" s="371">
        <v>0.25</v>
      </c>
      <c r="L28" s="371">
        <f>+K28/12*6</f>
        <v>0.125</v>
      </c>
      <c r="M28" s="402">
        <v>53521000</v>
      </c>
      <c r="N28" s="373">
        <v>60940000</v>
      </c>
      <c r="O28" s="374">
        <v>60940000</v>
      </c>
      <c r="P28" s="374">
        <f>5540000+5540000</f>
        <v>11080000</v>
      </c>
      <c r="Q28" s="375">
        <f>93908500-79020933</f>
        <v>14887567</v>
      </c>
      <c r="R28" s="374">
        <v>14887567</v>
      </c>
      <c r="S28" s="376" t="s">
        <v>270</v>
      </c>
      <c r="T28" s="407"/>
      <c r="U28" s="377">
        <f t="shared" si="5"/>
        <v>60940000</v>
      </c>
      <c r="V28" s="377">
        <f t="shared" si="5"/>
        <v>60940000</v>
      </c>
      <c r="W28" s="378">
        <f t="shared" si="6"/>
        <v>1</v>
      </c>
      <c r="X28" s="379"/>
      <c r="Y28" s="379"/>
      <c r="Z28" s="378"/>
      <c r="AA28" s="379"/>
      <c r="AB28" s="379"/>
      <c r="AC28" s="378"/>
      <c r="AD28" s="379"/>
      <c r="AE28" s="379"/>
      <c r="AF28" s="378"/>
      <c r="AG28" s="379"/>
      <c r="AH28" s="379"/>
      <c r="AI28" s="378"/>
      <c r="AJ28" s="379"/>
      <c r="AK28" s="379"/>
      <c r="AL28" s="378"/>
      <c r="AM28" s="379"/>
      <c r="AN28" s="379"/>
      <c r="AO28" s="378"/>
      <c r="AP28" s="379"/>
      <c r="AQ28" s="379"/>
      <c r="AR28" s="378"/>
      <c r="AS28" s="379"/>
      <c r="AT28" s="379"/>
      <c r="AU28" s="378"/>
    </row>
    <row r="29" spans="1:47" s="7" customFormat="1" ht="63.75" customHeight="1" hidden="1" outlineLevel="1">
      <c r="A29" s="401"/>
      <c r="B29" s="244" t="s">
        <v>182</v>
      </c>
      <c r="C29" s="368">
        <v>886</v>
      </c>
      <c r="D29" s="369" t="s">
        <v>70</v>
      </c>
      <c r="E29" s="368"/>
      <c r="F29" s="369" t="s">
        <v>271</v>
      </c>
      <c r="G29" s="244"/>
      <c r="H29" s="244" t="s">
        <v>48</v>
      </c>
      <c r="I29" s="370"/>
      <c r="J29" s="244" t="s">
        <v>272</v>
      </c>
      <c r="K29" s="371">
        <v>0.25</v>
      </c>
      <c r="L29" s="371">
        <f>+K29/12*6</f>
        <v>0.125</v>
      </c>
      <c r="M29" s="402">
        <v>797636900</v>
      </c>
      <c r="N29" s="373">
        <v>890551180</v>
      </c>
      <c r="O29" s="374">
        <v>694015400</v>
      </c>
      <c r="P29" s="374">
        <f>43888334+52181507</f>
        <v>96069841</v>
      </c>
      <c r="Q29" s="375">
        <f>826851973-580750983</f>
        <v>246100990</v>
      </c>
      <c r="R29" s="374">
        <f>162511080+36666667+13211067</f>
        <v>212388814</v>
      </c>
      <c r="S29" s="376" t="s">
        <v>273</v>
      </c>
      <c r="T29" s="381"/>
      <c r="U29" s="377">
        <f t="shared" si="5"/>
        <v>890551180</v>
      </c>
      <c r="V29" s="377">
        <f t="shared" si="5"/>
        <v>694015400</v>
      </c>
      <c r="W29" s="378">
        <f t="shared" si="6"/>
        <v>0.7793099549876515</v>
      </c>
      <c r="X29" s="379"/>
      <c r="Y29" s="379"/>
      <c r="Z29" s="378"/>
      <c r="AA29" s="379"/>
      <c r="AB29" s="379"/>
      <c r="AC29" s="378"/>
      <c r="AD29" s="379"/>
      <c r="AE29" s="379"/>
      <c r="AF29" s="378"/>
      <c r="AG29" s="379"/>
      <c r="AH29" s="379"/>
      <c r="AI29" s="378"/>
      <c r="AJ29" s="379"/>
      <c r="AK29" s="379"/>
      <c r="AL29" s="378"/>
      <c r="AM29" s="379"/>
      <c r="AN29" s="379"/>
      <c r="AO29" s="378"/>
      <c r="AP29" s="379"/>
      <c r="AQ29" s="379"/>
      <c r="AR29" s="378"/>
      <c r="AS29" s="379"/>
      <c r="AT29" s="379"/>
      <c r="AU29" s="378"/>
    </row>
    <row r="30" spans="1:47" s="7" customFormat="1" ht="54" customHeight="1" hidden="1" outlineLevel="1">
      <c r="A30" s="401"/>
      <c r="B30" s="244" t="s">
        <v>182</v>
      </c>
      <c r="C30" s="368">
        <v>886</v>
      </c>
      <c r="D30" s="369" t="s">
        <v>70</v>
      </c>
      <c r="E30" s="368"/>
      <c r="F30" s="369" t="s">
        <v>274</v>
      </c>
      <c r="G30" s="244"/>
      <c r="H30" s="244" t="s">
        <v>48</v>
      </c>
      <c r="I30" s="370"/>
      <c r="J30" s="244" t="s">
        <v>275</v>
      </c>
      <c r="K30" s="371">
        <v>0.3</v>
      </c>
      <c r="L30" s="371">
        <f>+K30/12*6</f>
        <v>0.15</v>
      </c>
      <c r="M30" s="402">
        <v>0</v>
      </c>
      <c r="N30" s="373">
        <v>0</v>
      </c>
      <c r="O30" s="374">
        <v>0</v>
      </c>
      <c r="P30" s="374">
        <v>0</v>
      </c>
      <c r="Q30" s="375">
        <f>780203260-625899252</f>
        <v>154304008</v>
      </c>
      <c r="R30" s="374">
        <f>75901000+14177900+52853001</f>
        <v>142931901</v>
      </c>
      <c r="S30" s="376" t="s">
        <v>276</v>
      </c>
      <c r="T30" s="381"/>
      <c r="U30" s="377">
        <f t="shared" si="5"/>
        <v>0</v>
      </c>
      <c r="V30" s="377">
        <f t="shared" si="5"/>
        <v>0</v>
      </c>
      <c r="W30" s="378" t="e">
        <f t="shared" si="6"/>
        <v>#DIV/0!</v>
      </c>
      <c r="X30" s="379"/>
      <c r="Y30" s="379"/>
      <c r="Z30" s="378"/>
      <c r="AA30" s="379"/>
      <c r="AB30" s="379"/>
      <c r="AC30" s="378"/>
      <c r="AD30" s="379"/>
      <c r="AE30" s="379"/>
      <c r="AF30" s="378"/>
      <c r="AG30" s="379"/>
      <c r="AH30" s="379"/>
      <c r="AI30" s="378"/>
      <c r="AJ30" s="379"/>
      <c r="AK30" s="379"/>
      <c r="AL30" s="378"/>
      <c r="AM30" s="379"/>
      <c r="AN30" s="379"/>
      <c r="AO30" s="378"/>
      <c r="AP30" s="379"/>
      <c r="AQ30" s="379"/>
      <c r="AR30" s="378"/>
      <c r="AS30" s="379"/>
      <c r="AT30" s="379"/>
      <c r="AU30" s="378"/>
    </row>
    <row r="31" spans="1:47" s="7" customFormat="1" ht="96" customHeight="1" hidden="1" outlineLevel="1">
      <c r="A31" s="401"/>
      <c r="B31" s="244" t="s">
        <v>182</v>
      </c>
      <c r="C31" s="368">
        <v>886</v>
      </c>
      <c r="D31" s="369" t="s">
        <v>70</v>
      </c>
      <c r="E31" s="368"/>
      <c r="F31" s="369" t="s">
        <v>277</v>
      </c>
      <c r="G31" s="244"/>
      <c r="H31" s="244" t="s">
        <v>48</v>
      </c>
      <c r="I31" s="370"/>
      <c r="J31" s="244" t="s">
        <v>278</v>
      </c>
      <c r="K31" s="404">
        <v>1</v>
      </c>
      <c r="L31" s="405">
        <v>0</v>
      </c>
      <c r="M31" s="402">
        <v>90348000</v>
      </c>
      <c r="N31" s="373">
        <v>90348000</v>
      </c>
      <c r="O31" s="374">
        <v>90348000</v>
      </c>
      <c r="P31" s="374">
        <f>16061867+7529000</f>
        <v>23590867</v>
      </c>
      <c r="Q31" s="375">
        <f>153463000-131780400</f>
        <v>21682600</v>
      </c>
      <c r="R31" s="374">
        <f>15006000+6676600</f>
        <v>21682600</v>
      </c>
      <c r="S31" s="376" t="s">
        <v>279</v>
      </c>
      <c r="T31" s="381"/>
      <c r="U31" s="377">
        <f t="shared" si="5"/>
        <v>90348000</v>
      </c>
      <c r="V31" s="377">
        <f t="shared" si="5"/>
        <v>90348000</v>
      </c>
      <c r="W31" s="378">
        <f t="shared" si="6"/>
        <v>1</v>
      </c>
      <c r="X31" s="379"/>
      <c r="Y31" s="379"/>
      <c r="Z31" s="378"/>
      <c r="AA31" s="379"/>
      <c r="AB31" s="379"/>
      <c r="AC31" s="378"/>
      <c r="AD31" s="379"/>
      <c r="AE31" s="379"/>
      <c r="AF31" s="378"/>
      <c r="AG31" s="379"/>
      <c r="AH31" s="379"/>
      <c r="AI31" s="378"/>
      <c r="AJ31" s="379"/>
      <c r="AK31" s="379"/>
      <c r="AL31" s="378"/>
      <c r="AM31" s="379"/>
      <c r="AN31" s="379"/>
      <c r="AO31" s="378"/>
      <c r="AP31" s="379"/>
      <c r="AQ31" s="379"/>
      <c r="AR31" s="378"/>
      <c r="AS31" s="379"/>
      <c r="AT31" s="379"/>
      <c r="AU31" s="378"/>
    </row>
    <row r="32" spans="1:47" s="7" customFormat="1" ht="63" customHeight="1" hidden="1" outlineLevel="1">
      <c r="A32" s="401"/>
      <c r="B32" s="244" t="s">
        <v>182</v>
      </c>
      <c r="C32" s="368">
        <v>886</v>
      </c>
      <c r="D32" s="369" t="s">
        <v>70</v>
      </c>
      <c r="E32" s="368"/>
      <c r="F32" s="369" t="s">
        <v>280</v>
      </c>
      <c r="G32" s="244"/>
      <c r="H32" s="244" t="s">
        <v>48</v>
      </c>
      <c r="I32" s="370"/>
      <c r="J32" s="244" t="s">
        <v>278</v>
      </c>
      <c r="K32" s="404">
        <v>1</v>
      </c>
      <c r="L32" s="404">
        <v>0</v>
      </c>
      <c r="M32" s="402">
        <v>79152000</v>
      </c>
      <c r="N32" s="373">
        <v>79152000</v>
      </c>
      <c r="O32" s="374">
        <v>79152000</v>
      </c>
      <c r="P32" s="374">
        <f>9454267+6596000</f>
        <v>16050267</v>
      </c>
      <c r="Q32" s="375">
        <f>62148000-50786400</f>
        <v>11361600</v>
      </c>
      <c r="R32" s="374">
        <f>6312000+5049600</f>
        <v>11361600</v>
      </c>
      <c r="S32" s="376" t="s">
        <v>281</v>
      </c>
      <c r="T32" s="376"/>
      <c r="U32" s="377">
        <f t="shared" si="5"/>
        <v>79152000</v>
      </c>
      <c r="V32" s="377">
        <f t="shared" si="5"/>
        <v>79152000</v>
      </c>
      <c r="W32" s="378">
        <f t="shared" si="6"/>
        <v>1</v>
      </c>
      <c r="X32" s="379"/>
      <c r="Y32" s="379"/>
      <c r="Z32" s="378"/>
      <c r="AA32" s="379"/>
      <c r="AB32" s="379"/>
      <c r="AC32" s="378"/>
      <c r="AD32" s="379"/>
      <c r="AE32" s="379"/>
      <c r="AF32" s="378"/>
      <c r="AG32" s="379"/>
      <c r="AH32" s="379"/>
      <c r="AI32" s="378"/>
      <c r="AJ32" s="379"/>
      <c r="AK32" s="379"/>
      <c r="AL32" s="378"/>
      <c r="AM32" s="379"/>
      <c r="AN32" s="379"/>
      <c r="AO32" s="378"/>
      <c r="AP32" s="379"/>
      <c r="AQ32" s="379"/>
      <c r="AR32" s="378"/>
      <c r="AS32" s="379"/>
      <c r="AT32" s="379"/>
      <c r="AU32" s="378"/>
    </row>
    <row r="33" spans="1:47" s="7" customFormat="1" ht="54" customHeight="1" hidden="1" outlineLevel="1">
      <c r="A33" s="401"/>
      <c r="B33" s="244" t="s">
        <v>182</v>
      </c>
      <c r="C33" s="368">
        <v>886</v>
      </c>
      <c r="D33" s="369" t="s">
        <v>70</v>
      </c>
      <c r="E33" s="368"/>
      <c r="F33" s="369" t="s">
        <v>282</v>
      </c>
      <c r="G33" s="244"/>
      <c r="H33" s="244" t="s">
        <v>48</v>
      </c>
      <c r="I33" s="370"/>
      <c r="J33" s="244" t="s">
        <v>283</v>
      </c>
      <c r="K33" s="404">
        <v>128</v>
      </c>
      <c r="L33" s="404">
        <v>64</v>
      </c>
      <c r="M33" s="402">
        <v>602314750</v>
      </c>
      <c r="N33" s="373">
        <v>581832400</v>
      </c>
      <c r="O33" s="374">
        <v>577706000</v>
      </c>
      <c r="P33" s="374">
        <f>24639367+32269433</f>
        <v>56908800</v>
      </c>
      <c r="Q33" s="375">
        <f>515147000-375060334</f>
        <v>140086666</v>
      </c>
      <c r="R33" s="374">
        <f>40619500+48335433</f>
        <v>88954933</v>
      </c>
      <c r="S33" s="376" t="s">
        <v>284</v>
      </c>
      <c r="T33" s="376"/>
      <c r="U33" s="377">
        <f t="shared" si="5"/>
        <v>581832400</v>
      </c>
      <c r="V33" s="377">
        <f t="shared" si="5"/>
        <v>577706000</v>
      </c>
      <c r="W33" s="378">
        <f t="shared" si="6"/>
        <v>0.992907923312624</v>
      </c>
      <c r="X33" s="379"/>
      <c r="Y33" s="379"/>
      <c r="Z33" s="378"/>
      <c r="AA33" s="379"/>
      <c r="AB33" s="379"/>
      <c r="AC33" s="378"/>
      <c r="AD33" s="379"/>
      <c r="AE33" s="379"/>
      <c r="AF33" s="378"/>
      <c r="AG33" s="379"/>
      <c r="AH33" s="379"/>
      <c r="AI33" s="378"/>
      <c r="AJ33" s="379"/>
      <c r="AK33" s="379"/>
      <c r="AL33" s="378"/>
      <c r="AM33" s="379"/>
      <c r="AN33" s="379"/>
      <c r="AO33" s="378"/>
      <c r="AP33" s="379"/>
      <c r="AQ33" s="379"/>
      <c r="AR33" s="378"/>
      <c r="AS33" s="379"/>
      <c r="AT33" s="379"/>
      <c r="AU33" s="378"/>
    </row>
    <row r="34" spans="1:47" s="7" customFormat="1" ht="67.5" customHeight="1" hidden="1" outlineLevel="1">
      <c r="A34" s="401"/>
      <c r="B34" s="244" t="s">
        <v>182</v>
      </c>
      <c r="C34" s="368">
        <v>886</v>
      </c>
      <c r="D34" s="369" t="s">
        <v>70</v>
      </c>
      <c r="E34" s="368"/>
      <c r="F34" s="369" t="s">
        <v>285</v>
      </c>
      <c r="G34" s="244"/>
      <c r="H34" s="244" t="s">
        <v>48</v>
      </c>
      <c r="I34" s="370"/>
      <c r="J34" s="244" t="s">
        <v>286</v>
      </c>
      <c r="K34" s="404">
        <v>12</v>
      </c>
      <c r="L34" s="408">
        <v>5</v>
      </c>
      <c r="M34" s="402">
        <v>826660130</v>
      </c>
      <c r="N34" s="374">
        <v>334387760</v>
      </c>
      <c r="O34" s="374">
        <v>280000320</v>
      </c>
      <c r="P34" s="409">
        <f>85106602+34140307</f>
        <v>119246909</v>
      </c>
      <c r="Q34" s="375">
        <f>216701180-163491620</f>
        <v>53209560</v>
      </c>
      <c r="R34" s="374">
        <v>53209760</v>
      </c>
      <c r="S34" s="376" t="s">
        <v>287</v>
      </c>
      <c r="T34" s="381"/>
      <c r="U34" s="377">
        <f t="shared" si="5"/>
        <v>334387760</v>
      </c>
      <c r="V34" s="377">
        <f t="shared" si="5"/>
        <v>280000320</v>
      </c>
      <c r="W34" s="378">
        <f t="shared" si="6"/>
        <v>0.83735218059417</v>
      </c>
      <c r="X34" s="379"/>
      <c r="Y34" s="379"/>
      <c r="Z34" s="378"/>
      <c r="AA34" s="379"/>
      <c r="AB34" s="379"/>
      <c r="AC34" s="378"/>
      <c r="AD34" s="379"/>
      <c r="AE34" s="379"/>
      <c r="AF34" s="378"/>
      <c r="AG34" s="379"/>
      <c r="AH34" s="379"/>
      <c r="AI34" s="378"/>
      <c r="AJ34" s="379"/>
      <c r="AK34" s="379"/>
      <c r="AL34" s="378"/>
      <c r="AM34" s="379"/>
      <c r="AN34" s="379"/>
      <c r="AO34" s="378"/>
      <c r="AP34" s="379"/>
      <c r="AQ34" s="379"/>
      <c r="AR34" s="378"/>
      <c r="AS34" s="379"/>
      <c r="AT34" s="379"/>
      <c r="AU34" s="378"/>
    </row>
    <row r="35" spans="1:47" s="395" customFormat="1" ht="16.5" customHeight="1" hidden="1" outlineLevel="2">
      <c r="A35" s="384"/>
      <c r="B35" s="384"/>
      <c r="C35" s="385"/>
      <c r="D35" s="410">
        <v>4</v>
      </c>
      <c r="E35" s="385"/>
      <c r="F35" s="386"/>
      <c r="G35" s="386"/>
      <c r="H35" s="386"/>
      <c r="I35" s="386"/>
      <c r="J35" s="385"/>
      <c r="K35" s="411"/>
      <c r="L35" s="412"/>
      <c r="M35" s="388">
        <f aca="true" t="shared" si="7" ref="M35:R35">SUM(M25:M34)</f>
        <v>3228600140</v>
      </c>
      <c r="N35" s="388">
        <f t="shared" si="7"/>
        <v>2790160700</v>
      </c>
      <c r="O35" s="389">
        <f t="shared" si="7"/>
        <v>2511891080</v>
      </c>
      <c r="P35" s="389">
        <f t="shared" si="7"/>
        <v>482674800</v>
      </c>
      <c r="Q35" s="389">
        <f t="shared" si="7"/>
        <v>720915224</v>
      </c>
      <c r="R35" s="389">
        <f t="shared" si="7"/>
        <v>611808442</v>
      </c>
      <c r="S35" s="413"/>
      <c r="T35" s="391"/>
      <c r="U35" s="392">
        <f>SUM(U25:U34)</f>
        <v>2790160700</v>
      </c>
      <c r="V35" s="392">
        <f>SUM(V25:V34)</f>
        <v>2511891080</v>
      </c>
      <c r="W35" s="393" t="e">
        <f>SUM(W25:W34)</f>
        <v>#DIV/0!</v>
      </c>
      <c r="X35" s="385"/>
      <c r="Y35" s="385"/>
      <c r="Z35" s="394"/>
      <c r="AA35" s="385"/>
      <c r="AB35" s="385"/>
      <c r="AC35" s="394"/>
      <c r="AD35" s="385"/>
      <c r="AE35" s="385"/>
      <c r="AF35" s="394"/>
      <c r="AG35" s="385"/>
      <c r="AH35" s="385"/>
      <c r="AI35" s="394"/>
      <c r="AJ35" s="385"/>
      <c r="AK35" s="385"/>
      <c r="AL35" s="394"/>
      <c r="AM35" s="385"/>
      <c r="AN35" s="385"/>
      <c r="AO35" s="394"/>
      <c r="AP35" s="385"/>
      <c r="AQ35" s="385"/>
      <c r="AR35" s="394"/>
      <c r="AS35" s="385"/>
      <c r="AT35" s="385"/>
      <c r="AU35" s="394"/>
    </row>
    <row r="36" spans="1:47" s="7" customFormat="1" ht="45" customHeight="1" outlineLevel="2">
      <c r="A36" s="367"/>
      <c r="B36" s="244" t="s">
        <v>190</v>
      </c>
      <c r="C36" s="368">
        <v>886</v>
      </c>
      <c r="D36" s="369" t="s">
        <v>288</v>
      </c>
      <c r="E36" s="368"/>
      <c r="F36" s="369" t="s">
        <v>289</v>
      </c>
      <c r="G36" s="244"/>
      <c r="H36" s="244" t="s">
        <v>48</v>
      </c>
      <c r="I36" s="370"/>
      <c r="J36" s="244" t="s">
        <v>290</v>
      </c>
      <c r="K36" s="414">
        <v>40</v>
      </c>
      <c r="L36" s="414">
        <v>40</v>
      </c>
      <c r="M36" s="402">
        <v>0</v>
      </c>
      <c r="N36" s="373">
        <v>0</v>
      </c>
      <c r="O36" s="374">
        <v>0</v>
      </c>
      <c r="P36" s="374">
        <v>0</v>
      </c>
      <c r="Q36" s="375">
        <f>20811500-17256300</f>
        <v>3555200</v>
      </c>
      <c r="R36" s="374">
        <f>2222000+1333200</f>
        <v>3555200</v>
      </c>
      <c r="S36" s="376"/>
      <c r="T36" s="415" t="s">
        <v>192</v>
      </c>
      <c r="U36" s="377">
        <f aca="true" t="shared" si="8" ref="U36:V38">+N36</f>
        <v>0</v>
      </c>
      <c r="V36" s="377">
        <f t="shared" si="8"/>
        <v>0</v>
      </c>
      <c r="W36" s="378" t="e">
        <f t="shared" si="6"/>
        <v>#DIV/0!</v>
      </c>
      <c r="X36" s="379"/>
      <c r="Y36" s="379"/>
      <c r="Z36" s="378"/>
      <c r="AA36" s="379"/>
      <c r="AB36" s="379"/>
      <c r="AC36" s="378"/>
      <c r="AD36" s="379"/>
      <c r="AE36" s="379"/>
      <c r="AF36" s="378"/>
      <c r="AG36" s="379"/>
      <c r="AH36" s="379"/>
      <c r="AI36" s="378"/>
      <c r="AJ36" s="379"/>
      <c r="AK36" s="379"/>
      <c r="AL36" s="378"/>
      <c r="AM36" s="379"/>
      <c r="AN36" s="379"/>
      <c r="AO36" s="378"/>
      <c r="AP36" s="379"/>
      <c r="AQ36" s="379"/>
      <c r="AR36" s="378"/>
      <c r="AS36" s="379"/>
      <c r="AT36" s="379"/>
      <c r="AU36" s="378"/>
    </row>
    <row r="37" spans="1:47" s="7" customFormat="1" ht="45" customHeight="1" outlineLevel="2">
      <c r="A37" s="367"/>
      <c r="B37" s="244" t="s">
        <v>190</v>
      </c>
      <c r="C37" s="368">
        <v>886</v>
      </c>
      <c r="D37" s="369" t="s">
        <v>288</v>
      </c>
      <c r="E37" s="368"/>
      <c r="F37" s="369" t="s">
        <v>291</v>
      </c>
      <c r="G37" s="244"/>
      <c r="H37" s="244" t="s">
        <v>48</v>
      </c>
      <c r="I37" s="370"/>
      <c r="J37" s="244" t="s">
        <v>292</v>
      </c>
      <c r="K37" s="416">
        <v>1</v>
      </c>
      <c r="L37" s="416">
        <v>1</v>
      </c>
      <c r="M37" s="402">
        <v>0</v>
      </c>
      <c r="N37" s="373">
        <v>0</v>
      </c>
      <c r="O37" s="374">
        <v>0</v>
      </c>
      <c r="P37" s="374">
        <v>0</v>
      </c>
      <c r="Q37" s="375">
        <v>0</v>
      </c>
      <c r="R37" s="374">
        <v>0</v>
      </c>
      <c r="S37" s="376"/>
      <c r="T37" s="417"/>
      <c r="U37" s="377">
        <f t="shared" si="8"/>
        <v>0</v>
      </c>
      <c r="V37" s="377">
        <f t="shared" si="8"/>
        <v>0</v>
      </c>
      <c r="W37" s="378" t="e">
        <f t="shared" si="6"/>
        <v>#DIV/0!</v>
      </c>
      <c r="X37" s="379"/>
      <c r="Y37" s="379"/>
      <c r="Z37" s="378"/>
      <c r="AA37" s="379"/>
      <c r="AB37" s="379"/>
      <c r="AC37" s="378"/>
      <c r="AD37" s="379"/>
      <c r="AE37" s="379"/>
      <c r="AF37" s="378"/>
      <c r="AG37" s="379"/>
      <c r="AH37" s="379"/>
      <c r="AI37" s="378"/>
      <c r="AJ37" s="379"/>
      <c r="AK37" s="379"/>
      <c r="AL37" s="378"/>
      <c r="AM37" s="379"/>
      <c r="AN37" s="379"/>
      <c r="AO37" s="378"/>
      <c r="AP37" s="379"/>
      <c r="AQ37" s="379"/>
      <c r="AR37" s="378"/>
      <c r="AS37" s="379"/>
      <c r="AT37" s="379"/>
      <c r="AU37" s="378"/>
    </row>
    <row r="38" spans="1:47" s="7" customFormat="1" ht="45" customHeight="1" outlineLevel="2">
      <c r="A38" s="367"/>
      <c r="B38" s="244" t="s">
        <v>190</v>
      </c>
      <c r="C38" s="368">
        <v>886</v>
      </c>
      <c r="D38" s="369" t="s">
        <v>288</v>
      </c>
      <c r="E38" s="368"/>
      <c r="F38" s="369" t="s">
        <v>293</v>
      </c>
      <c r="G38" s="244"/>
      <c r="H38" s="244" t="s">
        <v>48</v>
      </c>
      <c r="I38" s="370"/>
      <c r="J38" s="244" t="s">
        <v>294</v>
      </c>
      <c r="K38" s="416">
        <v>6</v>
      </c>
      <c r="L38" s="416">
        <v>6</v>
      </c>
      <c r="M38" s="402">
        <v>0</v>
      </c>
      <c r="N38" s="373">
        <v>0</v>
      </c>
      <c r="O38" s="374">
        <v>0</v>
      </c>
      <c r="P38" s="374">
        <v>0</v>
      </c>
      <c r="Q38" s="375">
        <v>0</v>
      </c>
      <c r="R38" s="374">
        <v>0</v>
      </c>
      <c r="S38" s="376"/>
      <c r="T38" s="418"/>
      <c r="U38" s="377">
        <f t="shared" si="8"/>
        <v>0</v>
      </c>
      <c r="V38" s="377">
        <f t="shared" si="8"/>
        <v>0</v>
      </c>
      <c r="W38" s="378" t="e">
        <f t="shared" si="6"/>
        <v>#DIV/0!</v>
      </c>
      <c r="X38" s="379"/>
      <c r="Y38" s="379"/>
      <c r="Z38" s="378"/>
      <c r="AA38" s="379"/>
      <c r="AB38" s="379"/>
      <c r="AC38" s="378"/>
      <c r="AD38" s="379"/>
      <c r="AE38" s="379"/>
      <c r="AF38" s="378"/>
      <c r="AG38" s="379"/>
      <c r="AH38" s="379"/>
      <c r="AI38" s="378"/>
      <c r="AJ38" s="379"/>
      <c r="AK38" s="379"/>
      <c r="AL38" s="378"/>
      <c r="AM38" s="379"/>
      <c r="AN38" s="379"/>
      <c r="AO38" s="378"/>
      <c r="AP38" s="379"/>
      <c r="AQ38" s="379"/>
      <c r="AR38" s="378"/>
      <c r="AS38" s="379"/>
      <c r="AT38" s="379"/>
      <c r="AU38" s="378"/>
    </row>
    <row r="39" spans="1:47" s="395" customFormat="1" ht="12" customHeight="1" outlineLevel="2">
      <c r="A39" s="384"/>
      <c r="B39" s="384"/>
      <c r="C39" s="385"/>
      <c r="D39" s="410">
        <v>5</v>
      </c>
      <c r="E39" s="385"/>
      <c r="F39" s="386"/>
      <c r="G39" s="386"/>
      <c r="H39" s="386"/>
      <c r="I39" s="386"/>
      <c r="J39" s="385"/>
      <c r="K39" s="411"/>
      <c r="L39" s="412"/>
      <c r="M39" s="388">
        <f aca="true" t="shared" si="9" ref="M39:R39">SUM(M36:M38)</f>
        <v>0</v>
      </c>
      <c r="N39" s="388">
        <f t="shared" si="9"/>
        <v>0</v>
      </c>
      <c r="O39" s="389">
        <f t="shared" si="9"/>
        <v>0</v>
      </c>
      <c r="P39" s="389">
        <f t="shared" si="9"/>
        <v>0</v>
      </c>
      <c r="Q39" s="389">
        <f t="shared" si="9"/>
        <v>3555200</v>
      </c>
      <c r="R39" s="389">
        <f t="shared" si="9"/>
        <v>3555200</v>
      </c>
      <c r="S39" s="419"/>
      <c r="T39" s="391"/>
      <c r="U39" s="393">
        <f>SUM(U36:U38)</f>
        <v>0</v>
      </c>
      <c r="V39" s="393">
        <f>SUM(V36:V38)</f>
        <v>0</v>
      </c>
      <c r="W39" s="393" t="e">
        <f>SUM(W36:W38)</f>
        <v>#DIV/0!</v>
      </c>
      <c r="X39" s="385"/>
      <c r="Y39" s="385"/>
      <c r="Z39" s="394"/>
      <c r="AA39" s="385"/>
      <c r="AB39" s="385"/>
      <c r="AC39" s="394"/>
      <c r="AD39" s="385"/>
      <c r="AE39" s="385"/>
      <c r="AF39" s="394"/>
      <c r="AG39" s="385"/>
      <c r="AH39" s="385"/>
      <c r="AI39" s="394"/>
      <c r="AJ39" s="385"/>
      <c r="AK39" s="385"/>
      <c r="AL39" s="394"/>
      <c r="AM39" s="385"/>
      <c r="AN39" s="385"/>
      <c r="AO39" s="394"/>
      <c r="AP39" s="385"/>
      <c r="AQ39" s="385"/>
      <c r="AR39" s="394"/>
      <c r="AS39" s="385"/>
      <c r="AT39" s="385"/>
      <c r="AU39" s="394"/>
    </row>
    <row r="40" spans="1:47" s="7" customFormat="1" ht="45" customHeight="1" outlineLevel="1">
      <c r="A40" s="401"/>
      <c r="B40" s="244" t="s">
        <v>194</v>
      </c>
      <c r="C40" s="368">
        <v>886</v>
      </c>
      <c r="D40" s="369" t="s">
        <v>46</v>
      </c>
      <c r="E40" s="368"/>
      <c r="F40" s="369" t="s">
        <v>73</v>
      </c>
      <c r="G40" s="244"/>
      <c r="H40" s="244" t="s">
        <v>48</v>
      </c>
      <c r="I40" s="370"/>
      <c r="J40" s="420" t="s">
        <v>295</v>
      </c>
      <c r="K40" s="421">
        <v>1</v>
      </c>
      <c r="L40" s="421">
        <v>0.4726</v>
      </c>
      <c r="M40" s="402">
        <v>53521000</v>
      </c>
      <c r="N40" s="373">
        <v>53521000</v>
      </c>
      <c r="O40" s="374">
        <v>53521000</v>
      </c>
      <c r="P40" s="374">
        <f>6670733+4654000</f>
        <v>11324733</v>
      </c>
      <c r="Q40" s="375">
        <f>56240000-49956800</f>
        <v>6283200</v>
      </c>
      <c r="R40" s="374">
        <f>5712000+571200</f>
        <v>6283200</v>
      </c>
      <c r="S40" s="422" t="s">
        <v>296</v>
      </c>
      <c r="T40" s="381"/>
      <c r="U40" s="377">
        <f aca="true" t="shared" si="10" ref="U40:V42">+N40</f>
        <v>53521000</v>
      </c>
      <c r="V40" s="377">
        <f t="shared" si="10"/>
        <v>53521000</v>
      </c>
      <c r="W40" s="378">
        <f>+V40/U40</f>
        <v>1</v>
      </c>
      <c r="X40" s="379"/>
      <c r="Y40" s="379"/>
      <c r="Z40" s="378"/>
      <c r="AA40" s="379"/>
      <c r="AB40" s="379"/>
      <c r="AC40" s="378"/>
      <c r="AD40" s="379"/>
      <c r="AE40" s="379"/>
      <c r="AF40" s="378"/>
      <c r="AG40" s="379"/>
      <c r="AH40" s="379"/>
      <c r="AI40" s="378"/>
      <c r="AJ40" s="379"/>
      <c r="AK40" s="379"/>
      <c r="AL40" s="378"/>
      <c r="AM40" s="379"/>
      <c r="AN40" s="379"/>
      <c r="AO40" s="378"/>
      <c r="AP40" s="379"/>
      <c r="AQ40" s="379"/>
      <c r="AR40" s="378"/>
      <c r="AS40" s="379"/>
      <c r="AT40" s="379"/>
      <c r="AU40" s="378"/>
    </row>
    <row r="41" spans="1:47" s="7" customFormat="1" ht="45" customHeight="1" outlineLevel="1">
      <c r="A41" s="401"/>
      <c r="B41" s="244" t="s">
        <v>194</v>
      </c>
      <c r="C41" s="368">
        <v>886</v>
      </c>
      <c r="D41" s="369" t="s">
        <v>46</v>
      </c>
      <c r="E41" s="368"/>
      <c r="F41" s="369" t="s">
        <v>74</v>
      </c>
      <c r="G41" s="244"/>
      <c r="H41" s="244" t="s">
        <v>48</v>
      </c>
      <c r="I41" s="370"/>
      <c r="J41" s="420" t="s">
        <v>297</v>
      </c>
      <c r="K41" s="421">
        <v>1</v>
      </c>
      <c r="L41" s="421">
        <v>0.4313</v>
      </c>
      <c r="M41" s="402">
        <v>155667000</v>
      </c>
      <c r="N41" s="373">
        <v>119291000</v>
      </c>
      <c r="O41" s="374">
        <v>119291000</v>
      </c>
      <c r="P41" s="374">
        <v>6037200</v>
      </c>
      <c r="Q41" s="375">
        <f>119481000-96790400</f>
        <v>22690600</v>
      </c>
      <c r="R41" s="374">
        <v>22690600</v>
      </c>
      <c r="S41" s="422" t="s">
        <v>298</v>
      </c>
      <c r="T41" s="381"/>
      <c r="U41" s="377">
        <f t="shared" si="10"/>
        <v>119291000</v>
      </c>
      <c r="V41" s="377">
        <f t="shared" si="10"/>
        <v>119291000</v>
      </c>
      <c r="W41" s="378">
        <f>+V41/U41</f>
        <v>1</v>
      </c>
      <c r="X41" s="379"/>
      <c r="Y41" s="379"/>
      <c r="Z41" s="378"/>
      <c r="AA41" s="379"/>
      <c r="AB41" s="379"/>
      <c r="AC41" s="378"/>
      <c r="AD41" s="379"/>
      <c r="AE41" s="379"/>
      <c r="AF41" s="378"/>
      <c r="AG41" s="379"/>
      <c r="AH41" s="379"/>
      <c r="AI41" s="378"/>
      <c r="AJ41" s="379"/>
      <c r="AK41" s="379"/>
      <c r="AL41" s="378"/>
      <c r="AM41" s="379"/>
      <c r="AN41" s="379"/>
      <c r="AO41" s="378"/>
      <c r="AP41" s="379"/>
      <c r="AQ41" s="379"/>
      <c r="AR41" s="378"/>
      <c r="AS41" s="379"/>
      <c r="AT41" s="379"/>
      <c r="AU41" s="378"/>
    </row>
    <row r="42" spans="1:47" s="7" customFormat="1" ht="45" customHeight="1" outlineLevel="1">
      <c r="A42" s="401"/>
      <c r="B42" s="244" t="s">
        <v>194</v>
      </c>
      <c r="C42" s="368">
        <v>886</v>
      </c>
      <c r="D42" s="369" t="s">
        <v>46</v>
      </c>
      <c r="E42" s="368"/>
      <c r="F42" s="369" t="s">
        <v>75</v>
      </c>
      <c r="G42" s="244"/>
      <c r="H42" s="244" t="s">
        <v>48</v>
      </c>
      <c r="I42" s="370"/>
      <c r="J42" s="244" t="s">
        <v>299</v>
      </c>
      <c r="K42" s="414">
        <v>400</v>
      </c>
      <c r="L42" s="414">
        <f>71+59+70</f>
        <v>200</v>
      </c>
      <c r="M42" s="402">
        <v>65659000</v>
      </c>
      <c r="N42" s="373">
        <v>72556000</v>
      </c>
      <c r="O42" s="374">
        <v>72556000</v>
      </c>
      <c r="P42" s="374">
        <f>6596000+6596000</f>
        <v>13192000</v>
      </c>
      <c r="Q42" s="375">
        <f>33892000-28155333</f>
        <v>5736667</v>
      </c>
      <c r="R42" s="374">
        <f>3442000+2294667</f>
        <v>5736667</v>
      </c>
      <c r="S42" s="422" t="s">
        <v>300</v>
      </c>
      <c r="T42" s="381"/>
      <c r="U42" s="377">
        <f t="shared" si="10"/>
        <v>72556000</v>
      </c>
      <c r="V42" s="377">
        <f t="shared" si="10"/>
        <v>72556000</v>
      </c>
      <c r="W42" s="378">
        <f>+V42/U42</f>
        <v>1</v>
      </c>
      <c r="X42" s="379"/>
      <c r="Y42" s="379"/>
      <c r="Z42" s="378"/>
      <c r="AA42" s="379"/>
      <c r="AB42" s="379"/>
      <c r="AC42" s="378"/>
      <c r="AD42" s="379"/>
      <c r="AE42" s="379"/>
      <c r="AF42" s="378"/>
      <c r="AG42" s="379"/>
      <c r="AH42" s="379"/>
      <c r="AI42" s="378"/>
      <c r="AJ42" s="379"/>
      <c r="AK42" s="379"/>
      <c r="AL42" s="378"/>
      <c r="AM42" s="379"/>
      <c r="AN42" s="379"/>
      <c r="AO42" s="378"/>
      <c r="AP42" s="379"/>
      <c r="AQ42" s="379"/>
      <c r="AR42" s="378"/>
      <c r="AS42" s="379"/>
      <c r="AT42" s="379"/>
      <c r="AU42" s="378"/>
    </row>
    <row r="43" spans="1:47" s="395" customFormat="1" ht="14.25" customHeight="1" outlineLevel="2">
      <c r="A43" s="384"/>
      <c r="B43" s="384"/>
      <c r="C43" s="385"/>
      <c r="D43" s="410">
        <v>6</v>
      </c>
      <c r="E43" s="385"/>
      <c r="F43" s="386"/>
      <c r="G43" s="386"/>
      <c r="H43" s="386"/>
      <c r="I43" s="386"/>
      <c r="J43" s="385"/>
      <c r="K43" s="411"/>
      <c r="L43" s="412"/>
      <c r="M43" s="388">
        <f aca="true" t="shared" si="11" ref="M43:R43">SUM(M40:M42)</f>
        <v>274847000</v>
      </c>
      <c r="N43" s="388">
        <f t="shared" si="11"/>
        <v>245368000</v>
      </c>
      <c r="O43" s="389">
        <f t="shared" si="11"/>
        <v>245368000</v>
      </c>
      <c r="P43" s="389">
        <f t="shared" si="11"/>
        <v>30553933</v>
      </c>
      <c r="Q43" s="389">
        <f t="shared" si="11"/>
        <v>34710467</v>
      </c>
      <c r="R43" s="389">
        <f t="shared" si="11"/>
        <v>34710467</v>
      </c>
      <c r="S43" s="419"/>
      <c r="T43" s="391"/>
      <c r="U43" s="393">
        <f>SUM(U40:U42)</f>
        <v>245368000</v>
      </c>
      <c r="V43" s="393">
        <f>SUM(V40:V42)</f>
        <v>245368000</v>
      </c>
      <c r="W43" s="393">
        <f>SUM(W40:W42)</f>
        <v>3</v>
      </c>
      <c r="X43" s="385"/>
      <c r="Y43" s="385"/>
      <c r="Z43" s="394"/>
      <c r="AA43" s="385"/>
      <c r="AB43" s="385"/>
      <c r="AC43" s="394"/>
      <c r="AD43" s="385"/>
      <c r="AE43" s="385"/>
      <c r="AF43" s="394"/>
      <c r="AG43" s="385"/>
      <c r="AH43" s="385"/>
      <c r="AI43" s="394"/>
      <c r="AJ43" s="385"/>
      <c r="AK43" s="385"/>
      <c r="AL43" s="394"/>
      <c r="AM43" s="385"/>
      <c r="AN43" s="385"/>
      <c r="AO43" s="394"/>
      <c r="AP43" s="385"/>
      <c r="AQ43" s="385"/>
      <c r="AR43" s="394"/>
      <c r="AS43" s="385"/>
      <c r="AT43" s="385"/>
      <c r="AU43" s="394"/>
    </row>
    <row r="44" spans="1:47" s="7" customFormat="1" ht="45" customHeight="1" outlineLevel="1">
      <c r="A44" s="401"/>
      <c r="B44" s="244" t="s">
        <v>203</v>
      </c>
      <c r="C44" s="368">
        <v>886</v>
      </c>
      <c r="D44" s="369" t="s">
        <v>47</v>
      </c>
      <c r="E44" s="368"/>
      <c r="F44" s="369" t="s">
        <v>79</v>
      </c>
      <c r="G44" s="244"/>
      <c r="H44" s="244" t="s">
        <v>48</v>
      </c>
      <c r="I44" s="370"/>
      <c r="J44" s="244" t="s">
        <v>91</v>
      </c>
      <c r="K44" s="423">
        <v>1</v>
      </c>
      <c r="L44" s="423">
        <v>1</v>
      </c>
      <c r="M44" s="424">
        <v>0</v>
      </c>
      <c r="N44" s="373">
        <v>0</v>
      </c>
      <c r="O44" s="374">
        <v>0</v>
      </c>
      <c r="P44" s="374">
        <v>0</v>
      </c>
      <c r="Q44" s="375">
        <f>264404900-201724500</f>
        <v>62680400</v>
      </c>
      <c r="R44" s="374">
        <v>55305500</v>
      </c>
      <c r="S44" s="422" t="s">
        <v>301</v>
      </c>
      <c r="T44" s="381"/>
      <c r="U44" s="377">
        <f aca="true" t="shared" si="12" ref="U44:V49">+N44</f>
        <v>0</v>
      </c>
      <c r="V44" s="377">
        <f t="shared" si="12"/>
        <v>0</v>
      </c>
      <c r="W44" s="378" t="e">
        <f aca="true" t="shared" si="13" ref="W44:W49">+V44/U44</f>
        <v>#DIV/0!</v>
      </c>
      <c r="X44" s="379"/>
      <c r="Y44" s="379"/>
      <c r="Z44" s="378"/>
      <c r="AA44" s="379"/>
      <c r="AB44" s="379"/>
      <c r="AC44" s="378"/>
      <c r="AD44" s="379"/>
      <c r="AE44" s="379"/>
      <c r="AF44" s="378"/>
      <c r="AG44" s="379"/>
      <c r="AH44" s="379"/>
      <c r="AI44" s="378"/>
      <c r="AJ44" s="379"/>
      <c r="AK44" s="379"/>
      <c r="AL44" s="378"/>
      <c r="AM44" s="379"/>
      <c r="AN44" s="379"/>
      <c r="AO44" s="378"/>
      <c r="AP44" s="379"/>
      <c r="AQ44" s="379"/>
      <c r="AR44" s="378"/>
      <c r="AS44" s="379"/>
      <c r="AT44" s="379"/>
      <c r="AU44" s="378"/>
    </row>
    <row r="45" spans="1:47" s="7" customFormat="1" ht="45" customHeight="1" outlineLevel="1">
      <c r="A45" s="401"/>
      <c r="B45" s="244" t="s">
        <v>203</v>
      </c>
      <c r="C45" s="368">
        <v>886</v>
      </c>
      <c r="D45" s="369" t="s">
        <v>47</v>
      </c>
      <c r="E45" s="368"/>
      <c r="F45" s="369" t="s">
        <v>80</v>
      </c>
      <c r="G45" s="244"/>
      <c r="H45" s="244" t="s">
        <v>48</v>
      </c>
      <c r="I45" s="370"/>
      <c r="J45" s="244" t="s">
        <v>92</v>
      </c>
      <c r="K45" s="414">
        <v>400</v>
      </c>
      <c r="L45" s="425">
        <f>71+59+70</f>
        <v>200</v>
      </c>
      <c r="M45" s="402">
        <v>177854000</v>
      </c>
      <c r="N45" s="373">
        <v>198005000</v>
      </c>
      <c r="O45" s="374">
        <v>197532000</v>
      </c>
      <c r="P45" s="374">
        <f>16450600+17329433</f>
        <v>33780033</v>
      </c>
      <c r="Q45" s="375">
        <v>0</v>
      </c>
      <c r="R45" s="374">
        <v>0</v>
      </c>
      <c r="S45" s="422" t="s">
        <v>302</v>
      </c>
      <c r="T45" s="381"/>
      <c r="U45" s="377">
        <f t="shared" si="12"/>
        <v>198005000</v>
      </c>
      <c r="V45" s="377">
        <f t="shared" si="12"/>
        <v>197532000</v>
      </c>
      <c r="W45" s="378">
        <f t="shared" si="13"/>
        <v>0.9976111714350647</v>
      </c>
      <c r="X45" s="379"/>
      <c r="Y45" s="379"/>
      <c r="Z45" s="378"/>
      <c r="AA45" s="379"/>
      <c r="AB45" s="379"/>
      <c r="AC45" s="378"/>
      <c r="AD45" s="379"/>
      <c r="AE45" s="379"/>
      <c r="AF45" s="378"/>
      <c r="AG45" s="379"/>
      <c r="AH45" s="379"/>
      <c r="AI45" s="378"/>
      <c r="AJ45" s="379"/>
      <c r="AK45" s="379"/>
      <c r="AL45" s="378"/>
      <c r="AM45" s="379"/>
      <c r="AN45" s="379"/>
      <c r="AO45" s="378"/>
      <c r="AP45" s="379"/>
      <c r="AQ45" s="379"/>
      <c r="AR45" s="378"/>
      <c r="AS45" s="379"/>
      <c r="AT45" s="379"/>
      <c r="AU45" s="378"/>
    </row>
    <row r="46" spans="1:47" s="7" customFormat="1" ht="45" customHeight="1" outlineLevel="1">
      <c r="A46" s="401"/>
      <c r="B46" s="244" t="s">
        <v>203</v>
      </c>
      <c r="C46" s="368">
        <v>886</v>
      </c>
      <c r="D46" s="369" t="s">
        <v>47</v>
      </c>
      <c r="E46" s="368"/>
      <c r="F46" s="369" t="s">
        <v>81</v>
      </c>
      <c r="G46" s="244"/>
      <c r="H46" s="244" t="s">
        <v>48</v>
      </c>
      <c r="I46" s="370"/>
      <c r="J46" s="420" t="s">
        <v>303</v>
      </c>
      <c r="K46" s="426">
        <v>1</v>
      </c>
      <c r="L46" s="426">
        <v>0.44</v>
      </c>
      <c r="M46" s="402">
        <v>70609000</v>
      </c>
      <c r="N46" s="373">
        <v>141665000</v>
      </c>
      <c r="O46" s="374">
        <v>77638000</v>
      </c>
      <c r="P46" s="374">
        <f>1282133+7058000</f>
        <v>8340133</v>
      </c>
      <c r="Q46" s="375">
        <v>0</v>
      </c>
      <c r="R46" s="374">
        <v>0</v>
      </c>
      <c r="S46" s="422" t="s">
        <v>304</v>
      </c>
      <c r="T46" s="381"/>
      <c r="U46" s="377">
        <f t="shared" si="12"/>
        <v>141665000</v>
      </c>
      <c r="V46" s="377">
        <f t="shared" si="12"/>
        <v>77638000</v>
      </c>
      <c r="W46" s="378">
        <f t="shared" si="13"/>
        <v>0.5480393886986906</v>
      </c>
      <c r="X46" s="379"/>
      <c r="Y46" s="379"/>
      <c r="Z46" s="378"/>
      <c r="AA46" s="379"/>
      <c r="AB46" s="379"/>
      <c r="AC46" s="378"/>
      <c r="AD46" s="379"/>
      <c r="AE46" s="379"/>
      <c r="AF46" s="378"/>
      <c r="AG46" s="379"/>
      <c r="AH46" s="379"/>
      <c r="AI46" s="378"/>
      <c r="AJ46" s="379"/>
      <c r="AK46" s="379"/>
      <c r="AL46" s="378"/>
      <c r="AM46" s="379"/>
      <c r="AN46" s="379"/>
      <c r="AO46" s="378"/>
      <c r="AP46" s="379"/>
      <c r="AQ46" s="379"/>
      <c r="AR46" s="378"/>
      <c r="AS46" s="379"/>
      <c r="AT46" s="379"/>
      <c r="AU46" s="378"/>
    </row>
    <row r="47" spans="1:47" s="7" customFormat="1" ht="45" customHeight="1" outlineLevel="1">
      <c r="A47" s="401"/>
      <c r="B47" s="244" t="s">
        <v>203</v>
      </c>
      <c r="C47" s="368">
        <v>886</v>
      </c>
      <c r="D47" s="369" t="s">
        <v>47</v>
      </c>
      <c r="E47" s="368"/>
      <c r="F47" s="369" t="s">
        <v>82</v>
      </c>
      <c r="G47" s="244"/>
      <c r="H47" s="244" t="s">
        <v>48</v>
      </c>
      <c r="I47" s="370"/>
      <c r="J47" s="244" t="s">
        <v>94</v>
      </c>
      <c r="K47" s="426">
        <v>1</v>
      </c>
      <c r="L47" s="426">
        <v>0.482</v>
      </c>
      <c r="M47" s="402">
        <v>175000000</v>
      </c>
      <c r="N47" s="373">
        <v>100000000</v>
      </c>
      <c r="O47" s="374">
        <v>0</v>
      </c>
      <c r="P47" s="374">
        <v>0</v>
      </c>
      <c r="Q47" s="375">
        <v>0</v>
      </c>
      <c r="R47" s="374">
        <v>0</v>
      </c>
      <c r="S47" s="376" t="s">
        <v>305</v>
      </c>
      <c r="T47" s="381"/>
      <c r="U47" s="377">
        <f t="shared" si="12"/>
        <v>100000000</v>
      </c>
      <c r="V47" s="377">
        <f t="shared" si="12"/>
        <v>0</v>
      </c>
      <c r="W47" s="378">
        <f t="shared" si="13"/>
        <v>0</v>
      </c>
      <c r="X47" s="379"/>
      <c r="Y47" s="379"/>
      <c r="Z47" s="378"/>
      <c r="AA47" s="379"/>
      <c r="AB47" s="379"/>
      <c r="AC47" s="378"/>
      <c r="AD47" s="379"/>
      <c r="AE47" s="379"/>
      <c r="AF47" s="378"/>
      <c r="AG47" s="379"/>
      <c r="AH47" s="379"/>
      <c r="AI47" s="378"/>
      <c r="AJ47" s="379"/>
      <c r="AK47" s="379"/>
      <c r="AL47" s="378"/>
      <c r="AM47" s="379"/>
      <c r="AN47" s="379"/>
      <c r="AO47" s="378"/>
      <c r="AP47" s="379"/>
      <c r="AQ47" s="379"/>
      <c r="AR47" s="378"/>
      <c r="AS47" s="379"/>
      <c r="AT47" s="379"/>
      <c r="AU47" s="378"/>
    </row>
    <row r="48" spans="1:47" s="7" customFormat="1" ht="45" customHeight="1" outlineLevel="1">
      <c r="A48" s="401"/>
      <c r="B48" s="244" t="s">
        <v>203</v>
      </c>
      <c r="C48" s="368">
        <v>886</v>
      </c>
      <c r="D48" s="369" t="s">
        <v>47</v>
      </c>
      <c r="E48" s="368"/>
      <c r="F48" s="369" t="s">
        <v>83</v>
      </c>
      <c r="G48" s="244"/>
      <c r="H48" s="244" t="s">
        <v>48</v>
      </c>
      <c r="I48" s="370"/>
      <c r="J48" s="244" t="s">
        <v>94</v>
      </c>
      <c r="K48" s="426">
        <v>1</v>
      </c>
      <c r="L48" s="426">
        <v>0.43</v>
      </c>
      <c r="M48" s="402">
        <v>0</v>
      </c>
      <c r="N48" s="373">
        <v>0</v>
      </c>
      <c r="O48" s="374">
        <v>0</v>
      </c>
      <c r="P48" s="374">
        <v>0</v>
      </c>
      <c r="Q48" s="375">
        <v>0</v>
      </c>
      <c r="R48" s="374">
        <v>0</v>
      </c>
      <c r="S48" s="422" t="s">
        <v>306</v>
      </c>
      <c r="T48" s="427"/>
      <c r="U48" s="377">
        <f t="shared" si="12"/>
        <v>0</v>
      </c>
      <c r="V48" s="377">
        <f t="shared" si="12"/>
        <v>0</v>
      </c>
      <c r="W48" s="378" t="e">
        <f t="shared" si="13"/>
        <v>#DIV/0!</v>
      </c>
      <c r="X48" s="379"/>
      <c r="Y48" s="379"/>
      <c r="Z48" s="378"/>
      <c r="AA48" s="379"/>
      <c r="AB48" s="379"/>
      <c r="AC48" s="378"/>
      <c r="AD48" s="379"/>
      <c r="AE48" s="379"/>
      <c r="AF48" s="378"/>
      <c r="AG48" s="379"/>
      <c r="AH48" s="379"/>
      <c r="AI48" s="378"/>
      <c r="AJ48" s="379"/>
      <c r="AK48" s="379"/>
      <c r="AL48" s="378"/>
      <c r="AM48" s="379"/>
      <c r="AN48" s="379"/>
      <c r="AO48" s="378"/>
      <c r="AP48" s="379"/>
      <c r="AQ48" s="379"/>
      <c r="AR48" s="378"/>
      <c r="AS48" s="379"/>
      <c r="AT48" s="379"/>
      <c r="AU48" s="378"/>
    </row>
    <row r="49" spans="1:47" s="7" customFormat="1" ht="45" customHeight="1" outlineLevel="1">
      <c r="A49" s="401"/>
      <c r="B49" s="244" t="s">
        <v>203</v>
      </c>
      <c r="C49" s="368">
        <v>886</v>
      </c>
      <c r="D49" s="369" t="s">
        <v>47</v>
      </c>
      <c r="E49" s="368"/>
      <c r="F49" s="369" t="s">
        <v>84</v>
      </c>
      <c r="G49" s="244"/>
      <c r="H49" s="244" t="s">
        <v>48</v>
      </c>
      <c r="I49" s="370"/>
      <c r="J49" s="244" t="s">
        <v>94</v>
      </c>
      <c r="K49" s="426">
        <v>1</v>
      </c>
      <c r="L49" s="426">
        <v>1</v>
      </c>
      <c r="M49" s="373">
        <v>25000000</v>
      </c>
      <c r="N49" s="373">
        <v>22678000</v>
      </c>
      <c r="O49" s="374">
        <v>0</v>
      </c>
      <c r="P49" s="374">
        <v>0</v>
      </c>
      <c r="Q49" s="375">
        <v>0</v>
      </c>
      <c r="R49" s="374">
        <v>0</v>
      </c>
      <c r="S49" s="422" t="s">
        <v>307</v>
      </c>
      <c r="T49" s="381"/>
      <c r="U49" s="377">
        <f t="shared" si="12"/>
        <v>22678000</v>
      </c>
      <c r="V49" s="377">
        <f t="shared" si="12"/>
        <v>0</v>
      </c>
      <c r="W49" s="378">
        <f t="shared" si="13"/>
        <v>0</v>
      </c>
      <c r="X49" s="379"/>
      <c r="Y49" s="379"/>
      <c r="Z49" s="378"/>
      <c r="AA49" s="379"/>
      <c r="AB49" s="379"/>
      <c r="AC49" s="378"/>
      <c r="AD49" s="379"/>
      <c r="AE49" s="379"/>
      <c r="AF49" s="378"/>
      <c r="AG49" s="379"/>
      <c r="AH49" s="379"/>
      <c r="AI49" s="378"/>
      <c r="AJ49" s="379"/>
      <c r="AK49" s="379"/>
      <c r="AL49" s="378"/>
      <c r="AM49" s="379"/>
      <c r="AN49" s="379"/>
      <c r="AO49" s="378"/>
      <c r="AP49" s="379"/>
      <c r="AQ49" s="379"/>
      <c r="AR49" s="378"/>
      <c r="AS49" s="379"/>
      <c r="AT49" s="379"/>
      <c r="AU49" s="378"/>
    </row>
    <row r="50" spans="1:47" s="395" customFormat="1" ht="15" customHeight="1" outlineLevel="2">
      <c r="A50" s="384"/>
      <c r="B50" s="384"/>
      <c r="C50" s="385"/>
      <c r="D50" s="385">
        <v>7</v>
      </c>
      <c r="E50" s="385"/>
      <c r="F50" s="386"/>
      <c r="G50" s="386"/>
      <c r="H50" s="386"/>
      <c r="I50" s="386"/>
      <c r="J50" s="385"/>
      <c r="K50" s="428"/>
      <c r="L50" s="412"/>
      <c r="M50" s="388">
        <f aca="true" t="shared" si="14" ref="M50:R50">SUM(M44:M49)</f>
        <v>448463000</v>
      </c>
      <c r="N50" s="388">
        <f t="shared" si="14"/>
        <v>462348000</v>
      </c>
      <c r="O50" s="389">
        <f t="shared" si="14"/>
        <v>275170000</v>
      </c>
      <c r="P50" s="389">
        <f t="shared" si="14"/>
        <v>42120166</v>
      </c>
      <c r="Q50" s="389">
        <f t="shared" si="14"/>
        <v>62680400</v>
      </c>
      <c r="R50" s="389">
        <f t="shared" si="14"/>
        <v>55305500</v>
      </c>
      <c r="S50" s="419"/>
      <c r="T50" s="391"/>
      <c r="U50" s="393">
        <f>SUM(U44:U49)</f>
        <v>462348000</v>
      </c>
      <c r="V50" s="393">
        <f>SUM(V44:V49)</f>
        <v>275170000</v>
      </c>
      <c r="W50" s="393" t="e">
        <f>SUM(W44:W49)</f>
        <v>#DIV/0!</v>
      </c>
      <c r="X50" s="385"/>
      <c r="Y50" s="385"/>
      <c r="Z50" s="394"/>
      <c r="AA50" s="385"/>
      <c r="AB50" s="385"/>
      <c r="AC50" s="394"/>
      <c r="AD50" s="385"/>
      <c r="AE50" s="385"/>
      <c r="AF50" s="394"/>
      <c r="AG50" s="385"/>
      <c r="AH50" s="385"/>
      <c r="AI50" s="394"/>
      <c r="AJ50" s="385"/>
      <c r="AK50" s="385"/>
      <c r="AL50" s="394"/>
      <c r="AM50" s="385"/>
      <c r="AN50" s="385"/>
      <c r="AO50" s="394"/>
      <c r="AP50" s="385"/>
      <c r="AQ50" s="385"/>
      <c r="AR50" s="394"/>
      <c r="AS50" s="385"/>
      <c r="AT50" s="385"/>
      <c r="AU50" s="394"/>
    </row>
    <row r="51" spans="1:47" s="436" customFormat="1" ht="18" customHeight="1">
      <c r="A51" s="429" t="s">
        <v>308</v>
      </c>
      <c r="B51" s="429"/>
      <c r="C51" s="430"/>
      <c r="D51" s="430"/>
      <c r="E51" s="430"/>
      <c r="F51" s="431"/>
      <c r="G51" s="431"/>
      <c r="H51" s="431"/>
      <c r="I51" s="431"/>
      <c r="J51" s="430"/>
      <c r="K51" s="432"/>
      <c r="L51" s="433"/>
      <c r="M51" s="434">
        <f aca="true" t="shared" si="15" ref="M51:R51">+M16+M21+M24+M35+M39+M43+M50</f>
        <v>7894820000</v>
      </c>
      <c r="N51" s="434">
        <f t="shared" si="15"/>
        <v>7894820000</v>
      </c>
      <c r="O51" s="434">
        <f t="shared" si="15"/>
        <v>5848057920</v>
      </c>
      <c r="P51" s="434">
        <f t="shared" si="15"/>
        <v>949524737</v>
      </c>
      <c r="Q51" s="434">
        <f>+Q16+Q21+Q24+Q35+Q39+Q43+Q50</f>
        <v>1247933437</v>
      </c>
      <c r="R51" s="434">
        <f t="shared" si="15"/>
        <v>1079405928</v>
      </c>
      <c r="S51" s="434">
        <f>SUBTOTAL(9,S15:S50)</f>
        <v>0</v>
      </c>
      <c r="T51" s="434">
        <f>SUBTOTAL(9,T15:T50)</f>
        <v>0</v>
      </c>
      <c r="U51" s="434">
        <f>+U16+U21+U24+U35+U39+U43+U50</f>
        <v>7894820000</v>
      </c>
      <c r="V51" s="434">
        <f>+V16+V21+V24+V35+V39+V43+V50</f>
        <v>5848057920</v>
      </c>
      <c r="W51" s="435"/>
      <c r="X51" s="434">
        <f>SUBTOTAL(9,X15:X50)</f>
        <v>0</v>
      </c>
      <c r="Y51" s="434">
        <f>SUBTOTAL(9,Y15:Y50)</f>
        <v>0</v>
      </c>
      <c r="Z51" s="434"/>
      <c r="AA51" s="434">
        <f>SUBTOTAL(9,AA15:AA50)</f>
        <v>0</v>
      </c>
      <c r="AB51" s="434">
        <f>SUBTOTAL(9,AB15:AB50)</f>
        <v>0</v>
      </c>
      <c r="AC51" s="434"/>
      <c r="AD51" s="434">
        <f>SUBTOTAL(9,AD15:AD50)</f>
        <v>0</v>
      </c>
      <c r="AE51" s="434">
        <f>SUBTOTAL(9,AE15:AE50)</f>
        <v>0</v>
      </c>
      <c r="AF51" s="434"/>
      <c r="AG51" s="434">
        <f>SUBTOTAL(9,AG15:AG50)</f>
        <v>0</v>
      </c>
      <c r="AH51" s="434">
        <f>SUBTOTAL(9,AH15:AH50)</f>
        <v>0</v>
      </c>
      <c r="AI51" s="434"/>
      <c r="AJ51" s="434">
        <f>SUBTOTAL(9,AJ15:AJ50)</f>
        <v>0</v>
      </c>
      <c r="AK51" s="434">
        <f>SUBTOTAL(9,AK15:AK50)</f>
        <v>0</v>
      </c>
      <c r="AL51" s="434"/>
      <c r="AM51" s="434">
        <f>SUBTOTAL(9,AM15:AM50)</f>
        <v>0</v>
      </c>
      <c r="AN51" s="434">
        <f>SUBTOTAL(9,AN15:AN50)</f>
        <v>0</v>
      </c>
      <c r="AO51" s="434"/>
      <c r="AP51" s="434">
        <f>SUBTOTAL(9,AP15:AP50)</f>
        <v>0</v>
      </c>
      <c r="AQ51" s="434">
        <f>SUBTOTAL(9,AQ15:AQ50)</f>
        <v>0</v>
      </c>
      <c r="AR51" s="434"/>
      <c r="AS51" s="434">
        <f>SUBTOTAL(9,AS15:AS50)</f>
        <v>0</v>
      </c>
      <c r="AT51" s="434">
        <f>SUBTOTAL(9,AT15:AT50)</f>
        <v>0</v>
      </c>
      <c r="AU51" s="434"/>
    </row>
    <row r="52" spans="13:22" ht="18" customHeight="1" hidden="1">
      <c r="M52" s="343"/>
      <c r="N52" s="343">
        <f>+N51-M51</f>
        <v>0</v>
      </c>
      <c r="O52" s="437"/>
      <c r="P52" s="437"/>
      <c r="Q52" s="437"/>
      <c r="R52" s="437">
        <v>1027863194</v>
      </c>
      <c r="U52" s="438"/>
      <c r="V52" s="438">
        <f>+O52</f>
        <v>0</v>
      </c>
    </row>
    <row r="53" spans="13:22" ht="21" customHeight="1" hidden="1">
      <c r="M53" s="343"/>
      <c r="N53" s="343"/>
      <c r="O53" s="437"/>
      <c r="P53" s="437"/>
      <c r="Q53" s="437"/>
      <c r="R53" s="437"/>
      <c r="U53" s="438"/>
      <c r="V53" s="439">
        <f>+V51-V52</f>
        <v>5848057920</v>
      </c>
    </row>
    <row r="54" spans="14:22" ht="21" customHeight="1">
      <c r="N54" s="440"/>
      <c r="O54" s="441"/>
      <c r="P54" s="442"/>
      <c r="R54" s="442"/>
      <c r="U54" s="438"/>
      <c r="V54" s="438"/>
    </row>
    <row r="55" spans="14:18" ht="21" customHeight="1">
      <c r="N55" s="443"/>
      <c r="O55" s="444"/>
      <c r="P55" s="444"/>
      <c r="R55" s="444"/>
    </row>
    <row r="57" ht="21" customHeight="1">
      <c r="P57" s="444"/>
    </row>
    <row r="58" ht="21" customHeight="1">
      <c r="N58" s="443"/>
    </row>
    <row r="59" ht="21" customHeight="1">
      <c r="N59" s="443"/>
    </row>
    <row r="60" ht="21" customHeight="1">
      <c r="N60" s="443"/>
    </row>
    <row r="61" ht="21" customHeight="1">
      <c r="N61" s="443"/>
    </row>
    <row r="62" ht="21" customHeight="1">
      <c r="N62" s="443"/>
    </row>
    <row r="63" ht="21" customHeight="1">
      <c r="N63" s="443"/>
    </row>
    <row r="64" ht="21" customHeight="1">
      <c r="O64" s="444"/>
    </row>
    <row r="66" ht="21" customHeight="1">
      <c r="O66" s="444">
        <f>+O34-'[2]Actividades'!$O$34</f>
        <v>0</v>
      </c>
    </row>
  </sheetData>
  <sheetProtection/>
  <mergeCells count="32">
    <mergeCell ref="AM11:AO11"/>
    <mergeCell ref="AP11:AR11"/>
    <mergeCell ref="AS11:AU11"/>
    <mergeCell ref="T36:T38"/>
    <mergeCell ref="U11:W11"/>
    <mergeCell ref="X11:Z11"/>
    <mergeCell ref="AA11:AC11"/>
    <mergeCell ref="AD11:AF11"/>
    <mergeCell ref="AG11:AI11"/>
    <mergeCell ref="AJ11:AL11"/>
    <mergeCell ref="K11:L11"/>
    <mergeCell ref="M11:N11"/>
    <mergeCell ref="O11:P11"/>
    <mergeCell ref="Q11:R11"/>
    <mergeCell ref="S11:S12"/>
    <mergeCell ref="T11:T12"/>
    <mergeCell ref="AB1:AE8"/>
    <mergeCell ref="AH1:AJ8"/>
    <mergeCell ref="AK1:AR8"/>
    <mergeCell ref="AS1:AV8"/>
    <mergeCell ref="AW1:AY8"/>
    <mergeCell ref="B11:B12"/>
    <mergeCell ref="C11:C12"/>
    <mergeCell ref="E11:E12"/>
    <mergeCell ref="F11:F12"/>
    <mergeCell ref="G11:I11"/>
    <mergeCell ref="A1:C8"/>
    <mergeCell ref="D1:I8"/>
    <mergeCell ref="J1:M8"/>
    <mergeCell ref="N1:O8"/>
    <mergeCell ref="P1:R8"/>
    <mergeCell ref="S1:AA8"/>
  </mergeCells>
  <printOptions/>
  <pageMargins left="0.7" right="0.7" top="0.75" bottom="0.75" header="0.3" footer="0.3"/>
  <pageSetup horizontalDpi="600" verticalDpi="600" orientation="portrait" r:id="rId4"/>
  <drawing r:id="rId3"/>
  <legacyDrawing r:id="rId2"/>
</worksheet>
</file>

<file path=xl/worksheets/sheet3.xml><?xml version="1.0" encoding="utf-8"?>
<worksheet xmlns="http://schemas.openxmlformats.org/spreadsheetml/2006/main" xmlns:r="http://schemas.openxmlformats.org/officeDocument/2006/relationships">
  <sheetPr codeName="Hoja2">
    <tabColor rgb="FF00B050"/>
  </sheetPr>
  <dimension ref="A1:BK11"/>
  <sheetViews>
    <sheetView showGridLines="0" tabSelected="1" zoomScale="70" zoomScaleNormal="70" zoomScalePageLayoutView="0" workbookViewId="0" topLeftCell="M1">
      <selection activeCell="AC9" sqref="AC9"/>
    </sheetView>
  </sheetViews>
  <sheetFormatPr defaultColWidth="11.421875" defaultRowHeight="15"/>
  <cols>
    <col min="1" max="1" width="11.421875" style="17" customWidth="1"/>
    <col min="2" max="2" width="16.8515625" style="11" customWidth="1"/>
    <col min="3" max="3" width="16.8515625" style="8" customWidth="1"/>
    <col min="4" max="4" width="16.8515625" style="11" customWidth="1"/>
    <col min="5" max="5" width="29.140625" style="8" customWidth="1"/>
    <col min="6" max="6" width="6.421875" style="11" customWidth="1"/>
    <col min="7" max="7" width="23.421875" style="16" customWidth="1"/>
    <col min="8" max="8" width="6.421875" style="11" customWidth="1"/>
    <col min="9" max="9" width="19.00390625" style="8" customWidth="1"/>
    <col min="10" max="10" width="9.8515625" style="11" customWidth="1"/>
    <col min="11" max="11" width="13.421875" style="12" customWidth="1"/>
    <col min="12" max="12" width="10.28125" style="11" customWidth="1"/>
    <col min="13" max="13" width="16.7109375" style="15" customWidth="1"/>
    <col min="14" max="14" width="9.140625" style="12" customWidth="1"/>
    <col min="15" max="15" width="37.421875" style="15" customWidth="1"/>
    <col min="16" max="16" width="7.00390625" style="12" customWidth="1"/>
    <col min="17" max="17" width="5.421875" style="60" customWidth="1"/>
    <col min="18" max="18" width="5.421875" style="12" customWidth="1"/>
    <col min="19" max="19" width="20.140625" style="7" customWidth="1"/>
    <col min="20" max="20" width="28.00390625" style="7" customWidth="1"/>
    <col min="21" max="21" width="11.7109375" style="12" customWidth="1"/>
    <col min="22" max="22" width="13.7109375" style="7" customWidth="1"/>
    <col min="23" max="23" width="16.8515625" style="6" hidden="1" customWidth="1"/>
    <col min="24" max="24" width="24.28125" style="6" hidden="1" customWidth="1"/>
    <col min="25" max="25" width="21.8515625" style="6" hidden="1" customWidth="1"/>
    <col min="26" max="26" width="19.7109375" style="6" hidden="1" customWidth="1"/>
    <col min="27" max="28" width="16.8515625" style="6" hidden="1" customWidth="1"/>
    <col min="29" max="33" width="50.7109375" style="6"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0" customWidth="1"/>
    <col min="46" max="63" width="11.421875" style="7" customWidth="1"/>
    <col min="64" max="16384" width="11.421875" style="6" customWidth="1"/>
  </cols>
  <sheetData>
    <row r="1" spans="15:16" ht="15">
      <c r="O1" s="14"/>
      <c r="P1" s="13"/>
    </row>
    <row r="2" spans="1:26" ht="33.75">
      <c r="A2" s="134" t="s">
        <v>72</v>
      </c>
      <c r="B2" s="134"/>
      <c r="C2" s="134"/>
      <c r="D2" s="134"/>
      <c r="E2" s="134"/>
      <c r="F2" s="134"/>
      <c r="G2" s="134"/>
      <c r="H2" s="134"/>
      <c r="I2" s="134"/>
      <c r="J2" s="134"/>
      <c r="K2" s="134"/>
      <c r="L2" s="79"/>
      <c r="M2" s="71"/>
      <c r="N2" s="137" t="s">
        <v>35</v>
      </c>
      <c r="O2" s="137"/>
      <c r="P2" s="137"/>
      <c r="Q2" s="137"/>
      <c r="R2" s="137"/>
      <c r="S2" s="137"/>
      <c r="T2" s="137"/>
      <c r="U2" s="137"/>
      <c r="V2" s="137"/>
      <c r="W2" s="137"/>
      <c r="X2" s="137"/>
      <c r="Y2" s="137"/>
      <c r="Z2" s="137"/>
    </row>
    <row r="3" spans="15:16" ht="15">
      <c r="O3" s="14"/>
      <c r="P3" s="13"/>
    </row>
    <row r="4" spans="15:16" ht="15">
      <c r="O4" s="14"/>
      <c r="P4" s="13"/>
    </row>
    <row r="5" spans="1:42" ht="80.25" customHeight="1">
      <c r="A5" s="140" t="s">
        <v>25</v>
      </c>
      <c r="B5" s="142" t="s">
        <v>34</v>
      </c>
      <c r="C5" s="143"/>
      <c r="D5" s="149" t="s">
        <v>33</v>
      </c>
      <c r="E5" s="136"/>
      <c r="F5" s="135" t="s">
        <v>26</v>
      </c>
      <c r="G5" s="136"/>
      <c r="H5" s="135" t="s">
        <v>32</v>
      </c>
      <c r="I5" s="136"/>
      <c r="J5" s="135" t="s">
        <v>27</v>
      </c>
      <c r="K5" s="136"/>
      <c r="L5" s="135" t="s">
        <v>39</v>
      </c>
      <c r="M5" s="136"/>
      <c r="N5" s="138" t="s">
        <v>23</v>
      </c>
      <c r="O5" s="139"/>
      <c r="P5" s="152" t="s">
        <v>19</v>
      </c>
      <c r="Q5" s="152"/>
      <c r="R5" s="153"/>
      <c r="S5" s="144" t="s">
        <v>20</v>
      </c>
      <c r="T5" s="144" t="s">
        <v>21</v>
      </c>
      <c r="U5" s="150" t="s">
        <v>0</v>
      </c>
      <c r="V5" s="151"/>
      <c r="W5" s="148" t="s">
        <v>36</v>
      </c>
      <c r="X5" s="148"/>
      <c r="Y5" s="148" t="s">
        <v>37</v>
      </c>
      <c r="Z5" s="148"/>
      <c r="AA5" s="148" t="s">
        <v>5</v>
      </c>
      <c r="AB5" s="148"/>
      <c r="AC5" s="132" t="s">
        <v>12</v>
      </c>
      <c r="AD5" s="132" t="s">
        <v>13</v>
      </c>
      <c r="AE5" s="132" t="s">
        <v>14</v>
      </c>
      <c r="AF5" s="132" t="s">
        <v>24</v>
      </c>
      <c r="AG5" s="132" t="s">
        <v>11</v>
      </c>
      <c r="AK5" s="131" t="s">
        <v>3</v>
      </c>
      <c r="AL5" s="131"/>
      <c r="AM5" s="131" t="s">
        <v>4</v>
      </c>
      <c r="AN5" s="131"/>
      <c r="AO5" s="131" t="s">
        <v>5</v>
      </c>
      <c r="AP5" s="131"/>
    </row>
    <row r="6" spans="1:42" ht="30.75" customHeight="1">
      <c r="A6" s="141"/>
      <c r="B6" s="33" t="s">
        <v>30</v>
      </c>
      <c r="C6" s="33" t="s">
        <v>31</v>
      </c>
      <c r="D6" s="33" t="s">
        <v>30</v>
      </c>
      <c r="E6" s="33" t="s">
        <v>31</v>
      </c>
      <c r="F6" s="33" t="s">
        <v>30</v>
      </c>
      <c r="G6" s="34" t="s">
        <v>31</v>
      </c>
      <c r="H6" s="33" t="s">
        <v>30</v>
      </c>
      <c r="I6" s="33" t="s">
        <v>31</v>
      </c>
      <c r="J6" s="33" t="s">
        <v>30</v>
      </c>
      <c r="K6" s="33" t="s">
        <v>31</v>
      </c>
      <c r="L6" s="33" t="s">
        <v>30</v>
      </c>
      <c r="M6" s="34" t="s">
        <v>31</v>
      </c>
      <c r="N6" s="35" t="s">
        <v>28</v>
      </c>
      <c r="O6" s="36" t="s">
        <v>29</v>
      </c>
      <c r="P6" s="37" t="s">
        <v>16</v>
      </c>
      <c r="Q6" s="61" t="s">
        <v>17</v>
      </c>
      <c r="R6" s="24" t="s">
        <v>18</v>
      </c>
      <c r="S6" s="145"/>
      <c r="T6" s="145"/>
      <c r="U6" s="38" t="s">
        <v>1</v>
      </c>
      <c r="V6" s="38" t="s">
        <v>2</v>
      </c>
      <c r="W6" s="38" t="s">
        <v>6</v>
      </c>
      <c r="X6" s="38" t="s">
        <v>7</v>
      </c>
      <c r="Y6" s="38" t="s">
        <v>8</v>
      </c>
      <c r="Z6" s="38" t="s">
        <v>9</v>
      </c>
      <c r="AA6" s="38" t="s">
        <v>1</v>
      </c>
      <c r="AB6" s="38" t="s">
        <v>9</v>
      </c>
      <c r="AC6" s="133"/>
      <c r="AD6" s="133"/>
      <c r="AE6" s="133"/>
      <c r="AF6" s="133"/>
      <c r="AG6" s="133"/>
      <c r="AK6" s="2" t="s">
        <v>6</v>
      </c>
      <c r="AL6" s="2" t="s">
        <v>7</v>
      </c>
      <c r="AM6" s="2" t="s">
        <v>8</v>
      </c>
      <c r="AN6" s="2" t="s">
        <v>9</v>
      </c>
      <c r="AO6" s="2" t="s">
        <v>1</v>
      </c>
      <c r="AP6" s="2" t="s">
        <v>9</v>
      </c>
    </row>
    <row r="7" spans="1:45" s="67" customFormat="1" ht="176.25" customHeight="1" hidden="1">
      <c r="A7" s="89"/>
      <c r="B7" s="90" t="s">
        <v>61</v>
      </c>
      <c r="C7" s="82" t="s">
        <v>62</v>
      </c>
      <c r="D7" s="83">
        <v>8</v>
      </c>
      <c r="E7" s="82" t="s">
        <v>40</v>
      </c>
      <c r="F7" s="83">
        <v>8</v>
      </c>
      <c r="G7" s="82" t="s">
        <v>63</v>
      </c>
      <c r="H7" s="84">
        <v>3</v>
      </c>
      <c r="I7" s="82" t="s">
        <v>43</v>
      </c>
      <c r="J7" s="83">
        <v>886</v>
      </c>
      <c r="K7" s="82" t="s">
        <v>57</v>
      </c>
      <c r="L7" s="83">
        <v>7</v>
      </c>
      <c r="M7" s="82" t="s">
        <v>64</v>
      </c>
      <c r="N7" s="83">
        <v>4</v>
      </c>
      <c r="O7" s="82" t="s">
        <v>46</v>
      </c>
      <c r="P7" s="83"/>
      <c r="Q7" s="83" t="s">
        <v>65</v>
      </c>
      <c r="R7" s="83"/>
      <c r="S7" s="83">
        <v>0</v>
      </c>
      <c r="T7" s="82" t="s">
        <v>66</v>
      </c>
      <c r="U7" s="85">
        <v>0.15</v>
      </c>
      <c r="V7" s="127"/>
      <c r="W7" s="146"/>
      <c r="X7" s="146"/>
      <c r="Y7" s="146"/>
      <c r="Z7" s="146"/>
      <c r="AA7" s="146"/>
      <c r="AB7" s="146"/>
      <c r="AC7" s="128"/>
      <c r="AD7" s="129"/>
      <c r="AE7" s="129"/>
      <c r="AF7" s="128"/>
      <c r="AG7" s="128"/>
      <c r="AK7" s="68"/>
      <c r="AL7" s="68"/>
      <c r="AM7" s="68"/>
      <c r="AN7" s="68"/>
      <c r="AO7" s="68"/>
      <c r="AP7" s="68"/>
      <c r="AQ7" s="69"/>
      <c r="AR7" s="69"/>
      <c r="AS7" s="69"/>
    </row>
    <row r="8" spans="1:45" s="67" customFormat="1" ht="176.25" customHeight="1" hidden="1">
      <c r="A8" s="95"/>
      <c r="B8" s="96" t="s">
        <v>61</v>
      </c>
      <c r="C8" s="86" t="s">
        <v>62</v>
      </c>
      <c r="D8" s="87">
        <v>8</v>
      </c>
      <c r="E8" s="86" t="s">
        <v>40</v>
      </c>
      <c r="F8" s="88">
        <v>8</v>
      </c>
      <c r="G8" s="86" t="s">
        <v>63</v>
      </c>
      <c r="H8" s="87">
        <v>3</v>
      </c>
      <c r="I8" s="86" t="s">
        <v>43</v>
      </c>
      <c r="J8" s="88">
        <v>886</v>
      </c>
      <c r="K8" s="86" t="s">
        <v>57</v>
      </c>
      <c r="L8" s="88">
        <v>7</v>
      </c>
      <c r="M8" s="86" t="s">
        <v>64</v>
      </c>
      <c r="N8" s="88">
        <v>5</v>
      </c>
      <c r="O8" s="86" t="s">
        <v>47</v>
      </c>
      <c r="P8" s="88"/>
      <c r="Q8" s="88" t="s">
        <v>48</v>
      </c>
      <c r="R8" s="88"/>
      <c r="S8" s="88">
        <v>0</v>
      </c>
      <c r="T8" s="86" t="s">
        <v>67</v>
      </c>
      <c r="U8" s="91">
        <v>0.345</v>
      </c>
      <c r="V8" s="127"/>
      <c r="W8" s="147"/>
      <c r="X8" s="147"/>
      <c r="Y8" s="147"/>
      <c r="Z8" s="147"/>
      <c r="AA8" s="147"/>
      <c r="AB8" s="147"/>
      <c r="AC8" s="128"/>
      <c r="AD8" s="129"/>
      <c r="AE8" s="129"/>
      <c r="AF8" s="128"/>
      <c r="AG8" s="128"/>
      <c r="AK8" s="68"/>
      <c r="AL8" s="68"/>
      <c r="AM8" s="68"/>
      <c r="AN8" s="68"/>
      <c r="AO8" s="68"/>
      <c r="AP8" s="68"/>
      <c r="AQ8" s="69"/>
      <c r="AR8" s="69"/>
      <c r="AS8" s="69"/>
    </row>
    <row r="9" spans="1:45" s="67" customFormat="1" ht="360.75" customHeight="1">
      <c r="A9" s="80"/>
      <c r="B9" s="92" t="s">
        <v>61</v>
      </c>
      <c r="C9" s="86" t="s">
        <v>62</v>
      </c>
      <c r="D9" s="87">
        <v>7</v>
      </c>
      <c r="E9" s="93" t="s">
        <v>68</v>
      </c>
      <c r="F9" s="88">
        <v>3</v>
      </c>
      <c r="G9" s="93" t="s">
        <v>58</v>
      </c>
      <c r="H9" s="87">
        <v>30</v>
      </c>
      <c r="I9" s="86" t="s">
        <v>43</v>
      </c>
      <c r="J9" s="88">
        <v>886</v>
      </c>
      <c r="K9" s="86" t="s">
        <v>57</v>
      </c>
      <c r="L9" s="88">
        <v>1</v>
      </c>
      <c r="M9" s="94" t="s">
        <v>69</v>
      </c>
      <c r="N9" s="87">
        <v>2</v>
      </c>
      <c r="O9" s="82" t="s">
        <v>70</v>
      </c>
      <c r="P9" s="88"/>
      <c r="Q9" s="88" t="s">
        <v>48</v>
      </c>
      <c r="R9" s="88"/>
      <c r="S9" s="88">
        <v>0</v>
      </c>
      <c r="T9" s="97" t="s">
        <v>71</v>
      </c>
      <c r="U9" s="98">
        <v>15</v>
      </c>
      <c r="V9" s="130"/>
      <c r="W9" s="147"/>
      <c r="X9" s="147"/>
      <c r="Y9" s="147"/>
      <c r="Z9" s="147"/>
      <c r="AA9" s="147"/>
      <c r="AB9" s="147"/>
      <c r="AC9" s="128" t="s">
        <v>106</v>
      </c>
      <c r="AD9" s="129" t="s">
        <v>107</v>
      </c>
      <c r="AE9" s="129" t="s">
        <v>108</v>
      </c>
      <c r="AF9" s="128"/>
      <c r="AG9" s="128"/>
      <c r="AK9" s="68"/>
      <c r="AL9" s="68"/>
      <c r="AM9" s="68"/>
      <c r="AN9" s="68"/>
      <c r="AO9" s="68"/>
      <c r="AP9" s="68"/>
      <c r="AQ9" s="69"/>
      <c r="AR9" s="69"/>
      <c r="AS9" s="69"/>
    </row>
    <row r="10" spans="1:45" s="65" customFormat="1" ht="15.75">
      <c r="A10" s="70"/>
      <c r="B10" s="70"/>
      <c r="C10" s="62"/>
      <c r="D10" s="70"/>
      <c r="E10" s="62"/>
      <c r="F10" s="70"/>
      <c r="G10" s="62"/>
      <c r="H10" s="70"/>
      <c r="I10" s="62"/>
      <c r="J10" s="70"/>
      <c r="K10" s="70"/>
      <c r="L10" s="70"/>
      <c r="M10" s="62"/>
      <c r="N10" s="70"/>
      <c r="O10" s="62"/>
      <c r="P10" s="70"/>
      <c r="Q10" s="63"/>
      <c r="R10" s="70"/>
      <c r="S10" s="62"/>
      <c r="T10" s="62"/>
      <c r="U10" s="70"/>
      <c r="V10" s="62"/>
      <c r="W10" s="64" t="e">
        <f>SUBTOTAL(9,#REF!)</f>
        <v>#REF!</v>
      </c>
      <c r="X10" s="64" t="e">
        <f>SUBTOTAL(9,#REF!)</f>
        <v>#REF!</v>
      </c>
      <c r="Y10" s="64" t="e">
        <f>SUBTOTAL(9,#REF!)</f>
        <v>#REF!</v>
      </c>
      <c r="Z10" s="64" t="e">
        <f>SUBTOTAL(9,#REF!)</f>
        <v>#REF!</v>
      </c>
      <c r="AA10" s="64" t="e">
        <f>SUBTOTAL(9,#REF!)</f>
        <v>#REF!</v>
      </c>
      <c r="AB10" s="64" t="e">
        <f>SUBTOTAL(9,#REF!)</f>
        <v>#REF!</v>
      </c>
      <c r="AC10" s="62"/>
      <c r="AD10" s="62"/>
      <c r="AE10" s="62"/>
      <c r="AF10" s="62"/>
      <c r="AG10" s="62"/>
      <c r="AQ10" s="66"/>
      <c r="AR10" s="66"/>
      <c r="AS10" s="66"/>
    </row>
    <row r="11" spans="1:63" s="26" customFormat="1" ht="15.75">
      <c r="A11" s="81"/>
      <c r="B11" s="28"/>
      <c r="C11" s="29"/>
      <c r="D11" s="28"/>
      <c r="E11" s="29"/>
      <c r="F11" s="28"/>
      <c r="G11" s="30"/>
      <c r="H11" s="28"/>
      <c r="I11" s="29"/>
      <c r="J11" s="28"/>
      <c r="K11" s="32"/>
      <c r="L11" s="28"/>
      <c r="M11" s="31"/>
      <c r="N11" s="32"/>
      <c r="O11" s="31"/>
      <c r="P11" s="32"/>
      <c r="Q11" s="32"/>
      <c r="R11" s="32"/>
      <c r="S11" s="25"/>
      <c r="T11" s="25"/>
      <c r="U11" s="32"/>
      <c r="V11" s="25"/>
      <c r="AQ11" s="27"/>
      <c r="AR11" s="27"/>
      <c r="AS11" s="27"/>
      <c r="AT11" s="25"/>
      <c r="AU11" s="25"/>
      <c r="AV11" s="25"/>
      <c r="AW11" s="25"/>
      <c r="AX11" s="25"/>
      <c r="AY11" s="25"/>
      <c r="AZ11" s="25"/>
      <c r="BA11" s="25"/>
      <c r="BB11" s="25"/>
      <c r="BC11" s="25"/>
      <c r="BD11" s="25"/>
      <c r="BE11" s="25"/>
      <c r="BF11" s="25"/>
      <c r="BG11" s="25"/>
      <c r="BH11" s="25"/>
      <c r="BI11" s="25"/>
      <c r="BJ11" s="25"/>
      <c r="BK11" s="25"/>
    </row>
  </sheetData>
  <sheetProtection password="ED45" sheet="1" formatRows="0"/>
  <mergeCells count="31">
    <mergeCell ref="D5:E5"/>
    <mergeCell ref="X7:X9"/>
    <mergeCell ref="U5:V5"/>
    <mergeCell ref="P5:R5"/>
    <mergeCell ref="W5:X5"/>
    <mergeCell ref="Y5:Z5"/>
    <mergeCell ref="S5:S6"/>
    <mergeCell ref="AB7:AB9"/>
    <mergeCell ref="AA7:AA9"/>
    <mergeCell ref="Y7:Y9"/>
    <mergeCell ref="W7:W9"/>
    <mergeCell ref="Z7:Z9"/>
    <mergeCell ref="AG5:AG6"/>
    <mergeCell ref="AD5:AD6"/>
    <mergeCell ref="AA5:AB5"/>
    <mergeCell ref="A2:K2"/>
    <mergeCell ref="J5:K5"/>
    <mergeCell ref="N2:Z2"/>
    <mergeCell ref="H5:I5"/>
    <mergeCell ref="N5:O5"/>
    <mergeCell ref="A5:A6"/>
    <mergeCell ref="L5:M5"/>
    <mergeCell ref="F5:G5"/>
    <mergeCell ref="B5:C5"/>
    <mergeCell ref="T5:T6"/>
    <mergeCell ref="AO5:AP5"/>
    <mergeCell ref="AK5:AL5"/>
    <mergeCell ref="AM5:AN5"/>
    <mergeCell ref="AF5:AF6"/>
    <mergeCell ref="AC5:AC6"/>
    <mergeCell ref="AE5:AE6"/>
  </mergeCells>
  <conditionalFormatting sqref="W7:AB9">
    <cfRule type="cellIs" priority="50" dxfId="5" operator="notEqual" stopIfTrue="1">
      <formula>BC7</formula>
    </cfRule>
  </conditionalFormatting>
  <conditionalFormatting sqref="W10:Z10">
    <cfRule type="cellIs" priority="8" dxfId="4" operator="notEqual" stopIfTrue="1">
      <formula>#REF!</formula>
    </cfRule>
  </conditionalFormatting>
  <dataValidations count="4">
    <dataValidation type="list" allowBlank="1" showInputMessage="1" showErrorMessage="1" sqref="I7:I9">
      <formula1>$AY$10:$AY$32</formula1>
    </dataValidation>
    <dataValidation type="list" allowBlank="1" showInputMessage="1" showErrorMessage="1" sqref="F7:G9">
      <formula1>#REF!</formula1>
    </dataValidation>
    <dataValidation type="list" allowBlank="1" showInputMessage="1" showErrorMessage="1" sqref="C7:C9">
      <formula1>'Metas gestión'!#REF!</formula1>
    </dataValidation>
    <dataValidation type="list" allowBlank="1" showInputMessage="1" showErrorMessage="1" sqref="D7:E9">
      <formula1>'Metas gestión'!#REF!</formula1>
    </dataValidation>
  </dataValidations>
  <printOptions/>
  <pageMargins left="0.7" right="0.7" top="0.75" bottom="0.75" header="0.3" footer="0.3"/>
  <pageSetup horizontalDpi="600" verticalDpi="600" orientation="portrait"/>
  <ignoredErrors>
    <ignoredError sqref="B7:B9" numberStoredAsText="1"/>
  </ignoredErrors>
  <legacyDrawing r:id="rId2"/>
</worksheet>
</file>

<file path=xl/worksheets/sheet4.xml><?xml version="1.0" encoding="utf-8"?>
<worksheet xmlns="http://schemas.openxmlformats.org/spreadsheetml/2006/main" xmlns:r="http://schemas.openxmlformats.org/officeDocument/2006/relationships">
  <sheetPr codeName="Hoja3">
    <tabColor rgb="FF00B050"/>
  </sheetPr>
  <dimension ref="A1:V57"/>
  <sheetViews>
    <sheetView showGridLines="0" zoomScale="70" zoomScaleNormal="70" zoomScalePageLayoutView="0" workbookViewId="0" topLeftCell="K1">
      <selection activeCell="K19" sqref="K19"/>
    </sheetView>
  </sheetViews>
  <sheetFormatPr defaultColWidth="11.421875" defaultRowHeight="15" zeroHeight="1" outlineLevelRow="2"/>
  <cols>
    <col min="1" max="1" width="9.421875" style="17" customWidth="1"/>
    <col min="2" max="2" width="18.421875" style="6" customWidth="1"/>
    <col min="3" max="3" width="10.140625" style="17" customWidth="1"/>
    <col min="4" max="4" width="24.140625" style="6" customWidth="1"/>
    <col min="5" max="5" width="11.00390625" style="17" customWidth="1"/>
    <col min="6" max="6" width="24.140625" style="6" customWidth="1"/>
    <col min="7" max="7" width="8.7109375" style="17" customWidth="1"/>
    <col min="8" max="8" width="24.140625" style="6" customWidth="1"/>
    <col min="9" max="9" width="10.57421875" style="17" customWidth="1"/>
    <col min="10" max="10" width="24.140625" style="6" customWidth="1"/>
    <col min="11" max="11" width="8.7109375" style="17" customWidth="1"/>
    <col min="12" max="12" width="30.421875" style="6" customWidth="1"/>
    <col min="13" max="13" width="8.7109375" style="17" customWidth="1"/>
    <col min="14" max="14" width="38.00390625" style="6" customWidth="1"/>
    <col min="15" max="17" width="8.7109375" style="17" customWidth="1"/>
    <col min="18" max="18" width="21.421875" style="6" customWidth="1"/>
    <col min="19" max="19" width="13.00390625" style="17" customWidth="1"/>
    <col min="20" max="20" width="17.140625" style="19" customWidth="1"/>
    <col min="21" max="22" width="83.140625" style="6" customWidth="1"/>
    <col min="23" max="23" width="0" style="6" hidden="1" customWidth="1"/>
    <col min="24" max="16384" width="11.421875" style="6" customWidth="1"/>
  </cols>
  <sheetData>
    <row r="1" spans="14:17" ht="25.5">
      <c r="N1" s="3" t="s">
        <v>15</v>
      </c>
      <c r="O1" s="18"/>
      <c r="P1" s="18"/>
      <c r="Q1" s="18"/>
    </row>
    <row r="2" spans="1:22" ht="107.25" customHeight="1">
      <c r="A2" s="154" t="s">
        <v>33</v>
      </c>
      <c r="B2" s="155"/>
      <c r="C2" s="154" t="s">
        <v>26</v>
      </c>
      <c r="D2" s="155"/>
      <c r="E2" s="156" t="s">
        <v>32</v>
      </c>
      <c r="F2" s="155"/>
      <c r="G2" s="156" t="s">
        <v>27</v>
      </c>
      <c r="H2" s="155"/>
      <c r="I2" s="156" t="s">
        <v>39</v>
      </c>
      <c r="J2" s="155"/>
      <c r="K2" s="138" t="s">
        <v>23</v>
      </c>
      <c r="L2" s="139"/>
      <c r="M2" s="159" t="s">
        <v>22</v>
      </c>
      <c r="N2" s="153"/>
      <c r="O2" s="158" t="s">
        <v>38</v>
      </c>
      <c r="P2" s="152"/>
      <c r="Q2" s="153"/>
      <c r="R2" s="144" t="s">
        <v>21</v>
      </c>
      <c r="S2" s="148" t="s">
        <v>0</v>
      </c>
      <c r="T2" s="148"/>
      <c r="U2" s="132" t="s">
        <v>10</v>
      </c>
      <c r="V2" s="132" t="s">
        <v>11</v>
      </c>
    </row>
    <row r="3" spans="1:22" ht="28.5" customHeight="1">
      <c r="A3" s="1" t="s">
        <v>30</v>
      </c>
      <c r="B3" s="1" t="s">
        <v>31</v>
      </c>
      <c r="C3" s="1" t="s">
        <v>30</v>
      </c>
      <c r="D3" s="1" t="s">
        <v>31</v>
      </c>
      <c r="E3" s="1" t="s">
        <v>30</v>
      </c>
      <c r="F3" s="1" t="s">
        <v>31</v>
      </c>
      <c r="G3" s="1" t="s">
        <v>30</v>
      </c>
      <c r="H3" s="1" t="s">
        <v>31</v>
      </c>
      <c r="I3" s="1" t="s">
        <v>30</v>
      </c>
      <c r="J3" s="1" t="s">
        <v>31</v>
      </c>
      <c r="K3" s="9" t="s">
        <v>28</v>
      </c>
      <c r="L3" s="9" t="s">
        <v>29</v>
      </c>
      <c r="M3" s="9" t="s">
        <v>28</v>
      </c>
      <c r="N3" s="9" t="s">
        <v>29</v>
      </c>
      <c r="O3" s="5" t="s">
        <v>16</v>
      </c>
      <c r="P3" s="5" t="s">
        <v>17</v>
      </c>
      <c r="Q3" s="5" t="s">
        <v>18</v>
      </c>
      <c r="R3" s="157"/>
      <c r="S3" s="4" t="s">
        <v>59</v>
      </c>
      <c r="T3" s="4" t="s">
        <v>60</v>
      </c>
      <c r="U3" s="132"/>
      <c r="V3" s="132"/>
    </row>
    <row r="4" spans="1:22" s="23" customFormat="1" ht="191.25" customHeight="1" hidden="1" outlineLevel="2">
      <c r="A4" s="83">
        <v>8</v>
      </c>
      <c r="B4" s="82" t="s">
        <v>40</v>
      </c>
      <c r="C4" s="83">
        <v>8</v>
      </c>
      <c r="D4" s="82" t="s">
        <v>63</v>
      </c>
      <c r="E4" s="84">
        <v>3</v>
      </c>
      <c r="F4" s="82" t="s">
        <v>43</v>
      </c>
      <c r="G4" s="83">
        <v>886</v>
      </c>
      <c r="H4" s="82" t="s">
        <v>57</v>
      </c>
      <c r="I4" s="83">
        <v>7</v>
      </c>
      <c r="J4" s="82" t="s">
        <v>41</v>
      </c>
      <c r="K4" s="83">
        <v>4</v>
      </c>
      <c r="L4" s="82" t="s">
        <v>46</v>
      </c>
      <c r="M4" s="101">
        <v>1</v>
      </c>
      <c r="N4" s="82" t="s">
        <v>73</v>
      </c>
      <c r="O4" s="83"/>
      <c r="P4" s="83" t="s">
        <v>48</v>
      </c>
      <c r="Q4" s="83"/>
      <c r="R4" s="82" t="s">
        <v>76</v>
      </c>
      <c r="S4" s="103">
        <v>100</v>
      </c>
      <c r="T4" s="118"/>
      <c r="U4" s="119"/>
      <c r="V4" s="119"/>
    </row>
    <row r="5" spans="1:22" s="23" customFormat="1" ht="207" customHeight="1" hidden="1" outlineLevel="2">
      <c r="A5" s="83">
        <v>8</v>
      </c>
      <c r="B5" s="82" t="s">
        <v>40</v>
      </c>
      <c r="C5" s="83">
        <v>8</v>
      </c>
      <c r="D5" s="82" t="s">
        <v>63</v>
      </c>
      <c r="E5" s="84">
        <v>3</v>
      </c>
      <c r="F5" s="82" t="s">
        <v>43</v>
      </c>
      <c r="G5" s="83">
        <v>886</v>
      </c>
      <c r="H5" s="82" t="s">
        <v>57</v>
      </c>
      <c r="I5" s="83">
        <v>7</v>
      </c>
      <c r="J5" s="82" t="s">
        <v>41</v>
      </c>
      <c r="K5" s="83">
        <v>4</v>
      </c>
      <c r="L5" s="82" t="s">
        <v>46</v>
      </c>
      <c r="M5" s="102">
        <v>2</v>
      </c>
      <c r="N5" s="99" t="s">
        <v>74</v>
      </c>
      <c r="O5" s="100"/>
      <c r="P5" s="100" t="s">
        <v>48</v>
      </c>
      <c r="Q5" s="100"/>
      <c r="R5" s="99" t="s">
        <v>77</v>
      </c>
      <c r="S5" s="104">
        <v>100</v>
      </c>
      <c r="T5" s="118"/>
      <c r="U5" s="119"/>
      <c r="V5" s="119"/>
    </row>
    <row r="6" spans="1:22" s="23" customFormat="1" ht="207" customHeight="1" hidden="1" outlineLevel="2">
      <c r="A6" s="83">
        <v>8</v>
      </c>
      <c r="B6" s="82" t="s">
        <v>40</v>
      </c>
      <c r="C6" s="83">
        <v>8</v>
      </c>
      <c r="D6" s="82" t="s">
        <v>63</v>
      </c>
      <c r="E6" s="84">
        <v>3</v>
      </c>
      <c r="F6" s="82" t="s">
        <v>43</v>
      </c>
      <c r="G6" s="83">
        <v>886</v>
      </c>
      <c r="H6" s="82" t="s">
        <v>57</v>
      </c>
      <c r="I6" s="83">
        <v>7</v>
      </c>
      <c r="J6" s="82" t="s">
        <v>41</v>
      </c>
      <c r="K6" s="83">
        <v>4</v>
      </c>
      <c r="L6" s="82" t="s">
        <v>46</v>
      </c>
      <c r="M6" s="102">
        <v>3</v>
      </c>
      <c r="N6" s="99" t="s">
        <v>75</v>
      </c>
      <c r="O6" s="100"/>
      <c r="P6" s="100" t="s">
        <v>48</v>
      </c>
      <c r="Q6" s="100"/>
      <c r="R6" s="99" t="s">
        <v>78</v>
      </c>
      <c r="S6" s="104">
        <v>400</v>
      </c>
      <c r="T6" s="118"/>
      <c r="U6" s="119"/>
      <c r="V6" s="119"/>
    </row>
    <row r="7" spans="1:22" s="72" customFormat="1" ht="15" customHeight="1" hidden="1" outlineLevel="2">
      <c r="A7" s="73"/>
      <c r="B7" s="73"/>
      <c r="C7" s="73"/>
      <c r="D7" s="74"/>
      <c r="E7" s="73"/>
      <c r="F7" s="74"/>
      <c r="G7" s="73"/>
      <c r="H7" s="74"/>
      <c r="I7" s="73"/>
      <c r="J7" s="74"/>
      <c r="K7" s="73"/>
      <c r="L7" s="74"/>
      <c r="M7" s="75"/>
      <c r="N7" s="78"/>
      <c r="O7" s="75"/>
      <c r="P7" s="75"/>
      <c r="Q7" s="76"/>
      <c r="R7" s="73"/>
      <c r="S7" s="59"/>
      <c r="T7" s="120"/>
      <c r="U7" s="121"/>
      <c r="V7" s="121"/>
    </row>
    <row r="8" spans="1:22" s="23" customFormat="1" ht="154.5" customHeight="1" hidden="1" outlineLevel="2">
      <c r="A8" s="87">
        <v>8</v>
      </c>
      <c r="B8" s="86" t="s">
        <v>40</v>
      </c>
      <c r="C8" s="88">
        <v>8</v>
      </c>
      <c r="D8" s="86" t="s">
        <v>63</v>
      </c>
      <c r="E8" s="87">
        <v>3</v>
      </c>
      <c r="F8" s="86" t="s">
        <v>43</v>
      </c>
      <c r="G8" s="88">
        <v>886</v>
      </c>
      <c r="H8" s="86" t="s">
        <v>57</v>
      </c>
      <c r="I8" s="88">
        <v>7</v>
      </c>
      <c r="J8" s="86" t="s">
        <v>64</v>
      </c>
      <c r="K8" s="88">
        <v>5</v>
      </c>
      <c r="L8" s="86" t="s">
        <v>47</v>
      </c>
      <c r="M8" s="105">
        <v>1</v>
      </c>
      <c r="N8" s="86" t="s">
        <v>79</v>
      </c>
      <c r="O8" s="88"/>
      <c r="P8" s="88" t="s">
        <v>48</v>
      </c>
      <c r="Q8" s="88"/>
      <c r="R8" s="86" t="s">
        <v>91</v>
      </c>
      <c r="S8" s="113">
        <v>1</v>
      </c>
      <c r="T8" s="118"/>
      <c r="U8" s="119"/>
      <c r="V8" s="119"/>
    </row>
    <row r="9" spans="1:22" s="23" customFormat="1" ht="154.5" customHeight="1" hidden="1" outlineLevel="2">
      <c r="A9" s="87"/>
      <c r="B9" s="86"/>
      <c r="C9" s="88"/>
      <c r="D9" s="86"/>
      <c r="E9" s="87"/>
      <c r="F9" s="86"/>
      <c r="G9" s="88"/>
      <c r="H9" s="86"/>
      <c r="I9" s="88"/>
      <c r="J9" s="86"/>
      <c r="K9" s="88"/>
      <c r="L9" s="86"/>
      <c r="M9" s="106">
        <v>2</v>
      </c>
      <c r="N9" s="107" t="s">
        <v>80</v>
      </c>
      <c r="O9" s="108"/>
      <c r="P9" s="108" t="s">
        <v>48</v>
      </c>
      <c r="Q9" s="108"/>
      <c r="R9" s="107" t="s">
        <v>92</v>
      </c>
      <c r="S9" s="108">
        <v>400</v>
      </c>
      <c r="T9" s="118"/>
      <c r="U9" s="119"/>
      <c r="V9" s="119"/>
    </row>
    <row r="10" spans="1:22" s="23" customFormat="1" ht="154.5" customHeight="1" hidden="1" outlineLevel="2">
      <c r="A10" s="87"/>
      <c r="B10" s="86"/>
      <c r="C10" s="88"/>
      <c r="D10" s="86"/>
      <c r="E10" s="87"/>
      <c r="F10" s="86"/>
      <c r="G10" s="88"/>
      <c r="H10" s="86"/>
      <c r="I10" s="88"/>
      <c r="J10" s="86"/>
      <c r="K10" s="88"/>
      <c r="L10" s="86"/>
      <c r="M10" s="106">
        <v>3</v>
      </c>
      <c r="N10" s="107" t="s">
        <v>81</v>
      </c>
      <c r="O10" s="108"/>
      <c r="P10" s="108" t="s">
        <v>48</v>
      </c>
      <c r="Q10" s="108"/>
      <c r="R10" s="107" t="s">
        <v>93</v>
      </c>
      <c r="S10" s="108">
        <v>100</v>
      </c>
      <c r="T10" s="118"/>
      <c r="U10" s="119"/>
      <c r="V10" s="119"/>
    </row>
    <row r="11" spans="1:22" s="23" customFormat="1" ht="154.5" customHeight="1" hidden="1" outlineLevel="2">
      <c r="A11" s="87"/>
      <c r="B11" s="86"/>
      <c r="C11" s="88"/>
      <c r="D11" s="86"/>
      <c r="E11" s="87"/>
      <c r="F11" s="86"/>
      <c r="G11" s="88"/>
      <c r="H11" s="86"/>
      <c r="I11" s="88"/>
      <c r="J11" s="86"/>
      <c r="K11" s="88"/>
      <c r="L11" s="86"/>
      <c r="M11" s="106">
        <v>4</v>
      </c>
      <c r="N11" s="107" t="s">
        <v>82</v>
      </c>
      <c r="O11" s="108"/>
      <c r="P11" s="108" t="s">
        <v>48</v>
      </c>
      <c r="Q11" s="108"/>
      <c r="R11" s="107" t="s">
        <v>94</v>
      </c>
      <c r="S11" s="114">
        <v>1</v>
      </c>
      <c r="T11" s="118"/>
      <c r="U11" s="119"/>
      <c r="V11" s="119"/>
    </row>
    <row r="12" spans="1:22" s="23" customFormat="1" ht="154.5" customHeight="1" hidden="1" outlineLevel="2">
      <c r="A12" s="87"/>
      <c r="B12" s="86"/>
      <c r="C12" s="88"/>
      <c r="D12" s="86"/>
      <c r="E12" s="87"/>
      <c r="F12" s="86"/>
      <c r="G12" s="88"/>
      <c r="H12" s="86"/>
      <c r="I12" s="88"/>
      <c r="J12" s="86"/>
      <c r="K12" s="88"/>
      <c r="L12" s="86"/>
      <c r="M12" s="106">
        <v>5</v>
      </c>
      <c r="N12" s="107" t="s">
        <v>83</v>
      </c>
      <c r="O12" s="108"/>
      <c r="P12" s="108" t="s">
        <v>48</v>
      </c>
      <c r="Q12" s="108"/>
      <c r="R12" s="107" t="s">
        <v>94</v>
      </c>
      <c r="S12" s="114">
        <v>1</v>
      </c>
      <c r="T12" s="118"/>
      <c r="U12" s="119"/>
      <c r="V12" s="119"/>
    </row>
    <row r="13" spans="1:22" s="23" customFormat="1" ht="154.5" customHeight="1" hidden="1" outlineLevel="2">
      <c r="A13" s="87"/>
      <c r="B13" s="86"/>
      <c r="C13" s="88"/>
      <c r="D13" s="86"/>
      <c r="E13" s="87"/>
      <c r="F13" s="86"/>
      <c r="G13" s="88"/>
      <c r="H13" s="86"/>
      <c r="I13" s="88"/>
      <c r="J13" s="86"/>
      <c r="K13" s="88"/>
      <c r="L13" s="86"/>
      <c r="M13" s="108">
        <v>6</v>
      </c>
      <c r="N13" s="107" t="s">
        <v>84</v>
      </c>
      <c r="O13" s="108"/>
      <c r="P13" s="108" t="s">
        <v>48</v>
      </c>
      <c r="Q13" s="111"/>
      <c r="R13" s="107" t="s">
        <v>95</v>
      </c>
      <c r="S13" s="114">
        <v>1</v>
      </c>
      <c r="T13" s="118"/>
      <c r="U13" s="119"/>
      <c r="V13" s="119"/>
    </row>
    <row r="14" spans="1:22" s="23" customFormat="1" ht="154.5" customHeight="1" outlineLevel="2">
      <c r="A14" s="87"/>
      <c r="B14" s="86"/>
      <c r="C14" s="88"/>
      <c r="D14" s="86"/>
      <c r="E14" s="87"/>
      <c r="F14" s="86"/>
      <c r="G14" s="88"/>
      <c r="H14" s="86"/>
      <c r="I14" s="88"/>
      <c r="J14" s="86"/>
      <c r="K14" s="88"/>
      <c r="L14" s="86"/>
      <c r="M14" s="106">
        <v>7</v>
      </c>
      <c r="N14" s="99" t="s">
        <v>85</v>
      </c>
      <c r="O14" s="108"/>
      <c r="P14" s="108"/>
      <c r="Q14" s="108" t="s">
        <v>65</v>
      </c>
      <c r="R14" s="99" t="s">
        <v>96</v>
      </c>
      <c r="S14" s="114">
        <v>1</v>
      </c>
      <c r="T14" s="118"/>
      <c r="U14" s="119"/>
      <c r="V14" s="119" t="s">
        <v>109</v>
      </c>
    </row>
    <row r="15" spans="1:22" s="23" customFormat="1" ht="154.5" customHeight="1" outlineLevel="2">
      <c r="A15" s="87"/>
      <c r="B15" s="86"/>
      <c r="C15" s="88"/>
      <c r="D15" s="86"/>
      <c r="E15" s="87"/>
      <c r="F15" s="86"/>
      <c r="G15" s="88"/>
      <c r="H15" s="86"/>
      <c r="I15" s="88"/>
      <c r="J15" s="86"/>
      <c r="K15" s="88"/>
      <c r="L15" s="86"/>
      <c r="M15" s="106">
        <v>8</v>
      </c>
      <c r="N15" s="99" t="s">
        <v>86</v>
      </c>
      <c r="O15" s="108"/>
      <c r="P15" s="108"/>
      <c r="Q15" s="108" t="s">
        <v>65</v>
      </c>
      <c r="R15" s="99" t="s">
        <v>97</v>
      </c>
      <c r="S15" s="114">
        <v>1</v>
      </c>
      <c r="T15" s="118"/>
      <c r="U15" s="119"/>
      <c r="V15" s="119" t="s">
        <v>109</v>
      </c>
    </row>
    <row r="16" spans="1:22" s="23" customFormat="1" ht="154.5" customHeight="1" outlineLevel="2">
      <c r="A16" s="87"/>
      <c r="B16" s="86"/>
      <c r="C16" s="88"/>
      <c r="D16" s="86"/>
      <c r="E16" s="87"/>
      <c r="F16" s="86"/>
      <c r="G16" s="88"/>
      <c r="H16" s="86"/>
      <c r="I16" s="88"/>
      <c r="J16" s="86"/>
      <c r="K16" s="88"/>
      <c r="L16" s="86"/>
      <c r="M16" s="106">
        <v>9</v>
      </c>
      <c r="N16" s="99" t="s">
        <v>87</v>
      </c>
      <c r="O16" s="108"/>
      <c r="P16" s="108"/>
      <c r="Q16" s="108" t="s">
        <v>65</v>
      </c>
      <c r="R16" s="99" t="s">
        <v>98</v>
      </c>
      <c r="S16" s="114">
        <v>1</v>
      </c>
      <c r="T16" s="118"/>
      <c r="U16" s="119"/>
      <c r="V16" s="119" t="s">
        <v>109</v>
      </c>
    </row>
    <row r="17" spans="1:22" s="23" customFormat="1" ht="186" customHeight="1" outlineLevel="2">
      <c r="A17" s="87"/>
      <c r="B17" s="86"/>
      <c r="C17" s="88"/>
      <c r="D17" s="86"/>
      <c r="E17" s="87"/>
      <c r="F17" s="86"/>
      <c r="G17" s="88"/>
      <c r="H17" s="86"/>
      <c r="I17" s="88"/>
      <c r="J17" s="86"/>
      <c r="K17" s="88"/>
      <c r="L17" s="86"/>
      <c r="M17" s="106">
        <v>10</v>
      </c>
      <c r="N17" s="99" t="s">
        <v>88</v>
      </c>
      <c r="O17" s="108"/>
      <c r="P17" s="108"/>
      <c r="Q17" s="108" t="s">
        <v>65</v>
      </c>
      <c r="R17" s="99" t="s">
        <v>99</v>
      </c>
      <c r="S17" s="114">
        <v>1</v>
      </c>
      <c r="T17" s="118"/>
      <c r="U17" s="119"/>
      <c r="V17" s="119" t="s">
        <v>109</v>
      </c>
    </row>
    <row r="18" spans="1:22" s="23" customFormat="1" ht="117" customHeight="1" outlineLevel="2">
      <c r="A18" s="87"/>
      <c r="B18" s="86"/>
      <c r="C18" s="88"/>
      <c r="D18" s="86"/>
      <c r="E18" s="87"/>
      <c r="F18" s="86"/>
      <c r="G18" s="88"/>
      <c r="H18" s="86"/>
      <c r="I18" s="88"/>
      <c r="J18" s="86"/>
      <c r="K18" s="88"/>
      <c r="L18" s="86"/>
      <c r="M18" s="106">
        <v>11</v>
      </c>
      <c r="N18" s="99" t="s">
        <v>89</v>
      </c>
      <c r="O18" s="108"/>
      <c r="P18" s="108"/>
      <c r="Q18" s="108" t="s">
        <v>65</v>
      </c>
      <c r="R18" s="99" t="s">
        <v>100</v>
      </c>
      <c r="S18" s="114">
        <v>1</v>
      </c>
      <c r="T18" s="118"/>
      <c r="U18" s="119"/>
      <c r="V18" s="119" t="s">
        <v>109</v>
      </c>
    </row>
    <row r="19" spans="1:22" s="23" customFormat="1" ht="101.25" customHeight="1" outlineLevel="2" thickBot="1">
      <c r="A19" s="87"/>
      <c r="B19" s="86"/>
      <c r="C19" s="88"/>
      <c r="D19" s="86"/>
      <c r="E19" s="87"/>
      <c r="F19" s="86"/>
      <c r="G19" s="88"/>
      <c r="H19" s="86"/>
      <c r="I19" s="88"/>
      <c r="J19" s="86"/>
      <c r="K19" s="88"/>
      <c r="L19" s="86"/>
      <c r="M19" s="109">
        <v>12</v>
      </c>
      <c r="N19" s="110" t="s">
        <v>90</v>
      </c>
      <c r="O19" s="112"/>
      <c r="P19" s="112"/>
      <c r="Q19" s="112" t="s">
        <v>65</v>
      </c>
      <c r="R19" s="110" t="s">
        <v>101</v>
      </c>
      <c r="S19" s="115">
        <v>1</v>
      </c>
      <c r="T19" s="118"/>
      <c r="U19" s="119"/>
      <c r="V19" s="119" t="s">
        <v>109</v>
      </c>
    </row>
    <row r="20" spans="1:22" s="72" customFormat="1" ht="15" customHeight="1" outlineLevel="2">
      <c r="A20" s="73"/>
      <c r="B20" s="73"/>
      <c r="C20" s="73"/>
      <c r="D20" s="74"/>
      <c r="E20" s="73"/>
      <c r="F20" s="74"/>
      <c r="G20" s="73"/>
      <c r="H20" s="74"/>
      <c r="I20" s="73"/>
      <c r="J20" s="74"/>
      <c r="K20" s="73"/>
      <c r="L20" s="74"/>
      <c r="M20" s="77"/>
      <c r="N20" s="78"/>
      <c r="O20" s="77"/>
      <c r="P20" s="77"/>
      <c r="Q20" s="77"/>
      <c r="R20" s="73"/>
      <c r="S20" s="59"/>
      <c r="T20" s="120"/>
      <c r="U20" s="121"/>
      <c r="V20" s="121"/>
    </row>
    <row r="21" spans="1:22" s="23" customFormat="1" ht="228.75" customHeight="1" outlineLevel="2">
      <c r="A21" s="87">
        <v>7</v>
      </c>
      <c r="B21" s="93" t="s">
        <v>68</v>
      </c>
      <c r="C21" s="88">
        <v>3</v>
      </c>
      <c r="D21" s="93" t="s">
        <v>58</v>
      </c>
      <c r="E21" s="87">
        <v>30</v>
      </c>
      <c r="F21" s="86" t="s">
        <v>43</v>
      </c>
      <c r="G21" s="88">
        <v>886</v>
      </c>
      <c r="H21" s="86" t="s">
        <v>57</v>
      </c>
      <c r="I21" s="88">
        <v>1</v>
      </c>
      <c r="J21" s="94" t="s">
        <v>69</v>
      </c>
      <c r="K21" s="87">
        <v>2</v>
      </c>
      <c r="L21" s="82" t="s">
        <v>70</v>
      </c>
      <c r="M21" s="83">
        <v>1</v>
      </c>
      <c r="N21" s="82" t="s">
        <v>102</v>
      </c>
      <c r="O21" s="88"/>
      <c r="P21" s="88"/>
      <c r="Q21" s="88" t="s">
        <v>65</v>
      </c>
      <c r="R21" s="82" t="s">
        <v>104</v>
      </c>
      <c r="S21" s="116">
        <v>1</v>
      </c>
      <c r="T21" s="122">
        <v>1</v>
      </c>
      <c r="U21" s="119" t="s">
        <v>106</v>
      </c>
      <c r="V21" s="119"/>
    </row>
    <row r="22" spans="1:22" s="23" customFormat="1" ht="201" customHeight="1" outlineLevel="2">
      <c r="A22" s="87"/>
      <c r="B22" s="93"/>
      <c r="C22" s="88"/>
      <c r="D22" s="93"/>
      <c r="E22" s="87"/>
      <c r="F22" s="86"/>
      <c r="G22" s="88"/>
      <c r="H22" s="86"/>
      <c r="I22" s="88"/>
      <c r="J22" s="94"/>
      <c r="K22" s="87"/>
      <c r="L22" s="82"/>
      <c r="M22" s="100">
        <v>2</v>
      </c>
      <c r="N22" s="99" t="s">
        <v>103</v>
      </c>
      <c r="O22" s="108"/>
      <c r="P22" s="108"/>
      <c r="Q22" s="108" t="s">
        <v>65</v>
      </c>
      <c r="R22" s="99" t="s">
        <v>105</v>
      </c>
      <c r="S22" s="114">
        <v>1</v>
      </c>
      <c r="T22" s="122">
        <v>1</v>
      </c>
      <c r="U22" s="119" t="s">
        <v>110</v>
      </c>
      <c r="V22" s="119"/>
    </row>
    <row r="23" spans="1:22" s="72" customFormat="1" ht="15" customHeight="1" outlineLevel="2">
      <c r="A23" s="73"/>
      <c r="B23" s="73"/>
      <c r="C23" s="73"/>
      <c r="D23" s="74"/>
      <c r="E23" s="73"/>
      <c r="F23" s="74"/>
      <c r="G23" s="73"/>
      <c r="H23" s="74"/>
      <c r="I23" s="73"/>
      <c r="J23" s="74"/>
      <c r="K23" s="73"/>
      <c r="L23" s="74"/>
      <c r="M23" s="77"/>
      <c r="N23" s="78"/>
      <c r="O23" s="77"/>
      <c r="P23" s="77"/>
      <c r="Q23" s="77"/>
      <c r="R23" s="73"/>
      <c r="S23" s="59"/>
      <c r="T23" s="120"/>
      <c r="U23" s="121"/>
      <c r="V23" s="121"/>
    </row>
    <row r="24" spans="1:22" s="20" customFormat="1" ht="50.25" customHeight="1" hidden="1">
      <c r="A24" s="39">
        <v>7</v>
      </c>
      <c r="B24" s="42" t="s">
        <v>40</v>
      </c>
      <c r="C24" s="39">
        <v>7</v>
      </c>
      <c r="D24" s="42" t="s">
        <v>42</v>
      </c>
      <c r="E24" s="39">
        <v>3</v>
      </c>
      <c r="F24" s="42" t="s">
        <v>43</v>
      </c>
      <c r="G24" s="39">
        <v>886</v>
      </c>
      <c r="H24" s="42" t="s">
        <v>44</v>
      </c>
      <c r="I24" s="39">
        <v>7</v>
      </c>
      <c r="J24" s="42" t="s">
        <v>41</v>
      </c>
      <c r="K24" s="39">
        <v>1</v>
      </c>
      <c r="L24" s="47" t="s">
        <v>45</v>
      </c>
      <c r="M24" s="21">
        <v>7</v>
      </c>
      <c r="N24" s="47" t="s">
        <v>49</v>
      </c>
      <c r="O24" s="39"/>
      <c r="P24" s="42"/>
      <c r="Q24" s="47" t="s">
        <v>48</v>
      </c>
      <c r="R24" s="47" t="s">
        <v>53</v>
      </c>
      <c r="S24" s="44">
        <v>1</v>
      </c>
      <c r="T24" s="123"/>
      <c r="U24" s="124"/>
      <c r="V24" s="124"/>
    </row>
    <row r="25" spans="1:22" s="20" customFormat="1" ht="50.25" customHeight="1" hidden="1">
      <c r="A25" s="46">
        <v>7</v>
      </c>
      <c r="B25" s="43" t="s">
        <v>40</v>
      </c>
      <c r="C25" s="43">
        <v>7</v>
      </c>
      <c r="D25" s="48" t="s">
        <v>42</v>
      </c>
      <c r="E25" s="48">
        <v>3</v>
      </c>
      <c r="F25" s="43" t="s">
        <v>43</v>
      </c>
      <c r="G25" s="40">
        <v>886</v>
      </c>
      <c r="H25" s="43" t="s">
        <v>44</v>
      </c>
      <c r="I25" s="49">
        <v>7</v>
      </c>
      <c r="J25" s="47" t="s">
        <v>41</v>
      </c>
      <c r="K25" s="40">
        <v>1</v>
      </c>
      <c r="L25" s="43" t="s">
        <v>45</v>
      </c>
      <c r="M25" s="21">
        <v>8</v>
      </c>
      <c r="N25" s="50" t="s">
        <v>50</v>
      </c>
      <c r="O25" s="40"/>
      <c r="P25" s="40"/>
      <c r="Q25" s="45" t="s">
        <v>48</v>
      </c>
      <c r="R25" s="45" t="s">
        <v>54</v>
      </c>
      <c r="S25" s="41">
        <v>1</v>
      </c>
      <c r="T25" s="123"/>
      <c r="U25" s="124"/>
      <c r="V25" s="124"/>
    </row>
    <row r="26" spans="1:22" s="20" customFormat="1" ht="12.75" customHeight="1" hidden="1">
      <c r="A26" s="51"/>
      <c r="B26" s="52"/>
      <c r="C26" s="51"/>
      <c r="D26" s="52"/>
      <c r="E26" s="51"/>
      <c r="F26" s="52"/>
      <c r="G26" s="51"/>
      <c r="H26" s="52"/>
      <c r="I26" s="51"/>
      <c r="J26" s="52"/>
      <c r="K26" s="51"/>
      <c r="L26" s="53"/>
      <c r="M26" s="54"/>
      <c r="N26" s="55"/>
      <c r="O26" s="56"/>
      <c r="P26" s="57"/>
      <c r="Q26" s="58"/>
      <c r="R26" s="55"/>
      <c r="S26" s="59"/>
      <c r="T26" s="125"/>
      <c r="U26" s="126"/>
      <c r="V26" s="126"/>
    </row>
    <row r="27" spans="1:22" s="20" customFormat="1" ht="50.25" customHeight="1" hidden="1">
      <c r="A27" s="46">
        <v>7</v>
      </c>
      <c r="B27" s="43" t="s">
        <v>40</v>
      </c>
      <c r="C27" s="43">
        <v>7</v>
      </c>
      <c r="D27" s="48" t="s">
        <v>42</v>
      </c>
      <c r="E27" s="48">
        <v>30</v>
      </c>
      <c r="F27" s="43" t="s">
        <v>43</v>
      </c>
      <c r="G27" s="40">
        <v>886</v>
      </c>
      <c r="H27" s="43" t="s">
        <v>44</v>
      </c>
      <c r="I27" s="49">
        <v>7</v>
      </c>
      <c r="J27" s="47" t="s">
        <v>41</v>
      </c>
      <c r="K27" s="40">
        <v>2</v>
      </c>
      <c r="L27" s="43" t="s">
        <v>46</v>
      </c>
      <c r="M27" s="21">
        <v>9</v>
      </c>
      <c r="N27" s="45" t="s">
        <v>51</v>
      </c>
      <c r="O27" s="40"/>
      <c r="P27" s="40"/>
      <c r="Q27" s="45" t="s">
        <v>48</v>
      </c>
      <c r="R27" s="45" t="s">
        <v>55</v>
      </c>
      <c r="S27" s="41">
        <v>1</v>
      </c>
      <c r="T27" s="123"/>
      <c r="U27" s="124"/>
      <c r="V27" s="124"/>
    </row>
    <row r="28" spans="1:22" s="20" customFormat="1" ht="12.75" customHeight="1" hidden="1">
      <c r="A28" s="51"/>
      <c r="B28" s="52"/>
      <c r="C28" s="51"/>
      <c r="D28" s="52"/>
      <c r="E28" s="51"/>
      <c r="F28" s="52"/>
      <c r="G28" s="51"/>
      <c r="H28" s="52"/>
      <c r="I28" s="51"/>
      <c r="J28" s="52"/>
      <c r="K28" s="51"/>
      <c r="L28" s="53"/>
      <c r="M28" s="54"/>
      <c r="N28" s="55"/>
      <c r="O28" s="56"/>
      <c r="P28" s="57"/>
      <c r="Q28" s="58"/>
      <c r="R28" s="55"/>
      <c r="S28" s="59"/>
      <c r="T28" s="125"/>
      <c r="U28" s="126"/>
      <c r="V28" s="126"/>
    </row>
    <row r="29" spans="1:22" s="20" customFormat="1" ht="50.25" customHeight="1" hidden="1">
      <c r="A29" s="46">
        <v>7</v>
      </c>
      <c r="B29" s="43" t="s">
        <v>40</v>
      </c>
      <c r="C29" s="43">
        <v>7</v>
      </c>
      <c r="D29" s="48" t="s">
        <v>42</v>
      </c>
      <c r="E29" s="48">
        <v>30</v>
      </c>
      <c r="F29" s="43" t="s">
        <v>43</v>
      </c>
      <c r="G29" s="40">
        <v>886</v>
      </c>
      <c r="H29" s="43" t="s">
        <v>44</v>
      </c>
      <c r="I29" s="49">
        <v>7</v>
      </c>
      <c r="J29" s="47" t="s">
        <v>41</v>
      </c>
      <c r="K29" s="40">
        <v>3</v>
      </c>
      <c r="L29" s="43" t="s">
        <v>47</v>
      </c>
      <c r="M29" s="21">
        <v>10</v>
      </c>
      <c r="N29" s="47" t="s">
        <v>52</v>
      </c>
      <c r="O29" s="40"/>
      <c r="P29" s="40"/>
      <c r="Q29" s="45" t="s">
        <v>48</v>
      </c>
      <c r="R29" s="45" t="s">
        <v>56</v>
      </c>
      <c r="S29" s="41">
        <v>1</v>
      </c>
      <c r="T29" s="123"/>
      <c r="U29" s="124"/>
      <c r="V29" s="124"/>
    </row>
    <row r="30" spans="1:22" s="20" customFormat="1" ht="12.75" customHeight="1" hidden="1">
      <c r="A30" s="51"/>
      <c r="B30" s="52"/>
      <c r="C30" s="51"/>
      <c r="D30" s="52"/>
      <c r="E30" s="51"/>
      <c r="F30" s="52"/>
      <c r="G30" s="51"/>
      <c r="H30" s="52"/>
      <c r="I30" s="51"/>
      <c r="J30" s="52"/>
      <c r="K30" s="51"/>
      <c r="L30" s="53"/>
      <c r="M30" s="54"/>
      <c r="N30" s="55"/>
      <c r="O30" s="56"/>
      <c r="P30" s="57"/>
      <c r="Q30" s="58"/>
      <c r="R30" s="55"/>
      <c r="S30" s="59"/>
      <c r="T30" s="125"/>
      <c r="U30" s="126"/>
      <c r="V30" s="126"/>
    </row>
    <row r="31" spans="1:20" s="20" customFormat="1" ht="15" customHeight="1">
      <c r="A31" s="21"/>
      <c r="C31" s="21"/>
      <c r="E31" s="21"/>
      <c r="G31" s="21"/>
      <c r="I31" s="21"/>
      <c r="K31" s="21"/>
      <c r="M31" s="21"/>
      <c r="O31" s="21"/>
      <c r="P31" s="21"/>
      <c r="Q31" s="21"/>
      <c r="S31" s="21"/>
      <c r="T31" s="22"/>
    </row>
    <row r="32" spans="1:20" s="20" customFormat="1" ht="15" customHeight="1">
      <c r="A32" s="21"/>
      <c r="C32" s="21"/>
      <c r="E32" s="21"/>
      <c r="G32" s="21"/>
      <c r="I32" s="21"/>
      <c r="K32" s="21"/>
      <c r="M32" s="21"/>
      <c r="O32" s="21"/>
      <c r="P32" s="21"/>
      <c r="Q32" s="21"/>
      <c r="S32" s="21"/>
      <c r="T32" s="22"/>
    </row>
    <row r="33" spans="1:20" s="20" customFormat="1" ht="15" customHeight="1">
      <c r="A33" s="21"/>
      <c r="C33" s="21"/>
      <c r="E33" s="21"/>
      <c r="G33" s="21"/>
      <c r="I33" s="21"/>
      <c r="K33" s="21"/>
      <c r="M33" s="21"/>
      <c r="O33" s="21"/>
      <c r="P33" s="21"/>
      <c r="Q33" s="21"/>
      <c r="S33" s="21"/>
      <c r="T33" s="22"/>
    </row>
    <row r="34" spans="1:20" s="20" customFormat="1" ht="15" customHeight="1">
      <c r="A34" s="21"/>
      <c r="C34" s="21"/>
      <c r="E34" s="21"/>
      <c r="G34" s="21"/>
      <c r="I34" s="21"/>
      <c r="K34" s="21"/>
      <c r="M34" s="21"/>
      <c r="O34" s="21"/>
      <c r="P34" s="21"/>
      <c r="Q34" s="21"/>
      <c r="S34" s="21"/>
      <c r="T34" s="22"/>
    </row>
    <row r="35" spans="1:20" s="20" customFormat="1" ht="15" customHeight="1">
      <c r="A35" s="21"/>
      <c r="C35" s="21"/>
      <c r="E35" s="21"/>
      <c r="G35" s="21"/>
      <c r="I35" s="21"/>
      <c r="K35" s="21"/>
      <c r="M35" s="21"/>
      <c r="O35" s="21"/>
      <c r="P35" s="21"/>
      <c r="Q35" s="21"/>
      <c r="S35" s="21"/>
      <c r="T35" s="22"/>
    </row>
    <row r="36" spans="1:20" s="20" customFormat="1" ht="15" customHeight="1">
      <c r="A36" s="21"/>
      <c r="C36" s="21"/>
      <c r="E36" s="21"/>
      <c r="G36" s="21"/>
      <c r="I36" s="21"/>
      <c r="K36" s="21"/>
      <c r="M36" s="21"/>
      <c r="O36" s="21"/>
      <c r="P36" s="21"/>
      <c r="Q36" s="21"/>
      <c r="S36" s="21"/>
      <c r="T36" s="22"/>
    </row>
    <row r="37" spans="1:20" s="20" customFormat="1" ht="15" customHeight="1">
      <c r="A37" s="21"/>
      <c r="C37" s="21"/>
      <c r="E37" s="21"/>
      <c r="G37" s="21"/>
      <c r="I37" s="21"/>
      <c r="K37" s="21"/>
      <c r="M37" s="21"/>
      <c r="O37" s="21"/>
      <c r="P37" s="21"/>
      <c r="Q37" s="21"/>
      <c r="S37" s="21"/>
      <c r="T37" s="22"/>
    </row>
    <row r="38" spans="1:20" s="20" customFormat="1" ht="15" customHeight="1">
      <c r="A38" s="21"/>
      <c r="C38" s="21"/>
      <c r="E38" s="21"/>
      <c r="G38" s="21"/>
      <c r="I38" s="21"/>
      <c r="K38" s="21"/>
      <c r="M38" s="21"/>
      <c r="O38" s="21"/>
      <c r="P38" s="21"/>
      <c r="Q38" s="21"/>
      <c r="S38" s="21"/>
      <c r="T38" s="22"/>
    </row>
    <row r="39" spans="1:20" s="20" customFormat="1" ht="15" customHeight="1">
      <c r="A39" s="21"/>
      <c r="C39" s="21"/>
      <c r="E39" s="21"/>
      <c r="G39" s="21"/>
      <c r="I39" s="21"/>
      <c r="K39" s="21"/>
      <c r="M39" s="21"/>
      <c r="O39" s="21"/>
      <c r="P39" s="21"/>
      <c r="Q39" s="21"/>
      <c r="S39" s="21"/>
      <c r="T39" s="22"/>
    </row>
    <row r="40" spans="1:20" s="20" customFormat="1" ht="15" customHeight="1">
      <c r="A40" s="21"/>
      <c r="C40" s="21"/>
      <c r="E40" s="21"/>
      <c r="G40" s="21"/>
      <c r="I40" s="21"/>
      <c r="K40" s="21"/>
      <c r="M40" s="21"/>
      <c r="O40" s="21"/>
      <c r="P40" s="21"/>
      <c r="Q40" s="21"/>
      <c r="S40" s="21"/>
      <c r="T40" s="22"/>
    </row>
    <row r="41" spans="1:20" s="20" customFormat="1" ht="15" customHeight="1">
      <c r="A41" s="21"/>
      <c r="C41" s="21"/>
      <c r="E41" s="21"/>
      <c r="G41" s="21"/>
      <c r="I41" s="21"/>
      <c r="K41" s="21"/>
      <c r="M41" s="21"/>
      <c r="O41" s="21"/>
      <c r="P41" s="21"/>
      <c r="Q41" s="21"/>
      <c r="S41" s="21"/>
      <c r="T41" s="22"/>
    </row>
    <row r="42" spans="1:20" s="20" customFormat="1" ht="15" customHeight="1">
      <c r="A42" s="21"/>
      <c r="C42" s="21"/>
      <c r="E42" s="21"/>
      <c r="G42" s="21"/>
      <c r="I42" s="21"/>
      <c r="K42" s="21"/>
      <c r="M42" s="21"/>
      <c r="O42" s="21"/>
      <c r="P42" s="21"/>
      <c r="Q42" s="21"/>
      <c r="S42" s="21"/>
      <c r="T42" s="22"/>
    </row>
    <row r="43" spans="1:20" s="20" customFormat="1" ht="15" customHeight="1">
      <c r="A43" s="21"/>
      <c r="C43" s="21"/>
      <c r="E43" s="21"/>
      <c r="G43" s="21"/>
      <c r="I43" s="21"/>
      <c r="K43" s="21"/>
      <c r="M43" s="21"/>
      <c r="O43" s="21"/>
      <c r="P43" s="21"/>
      <c r="Q43" s="21"/>
      <c r="S43" s="21"/>
      <c r="T43" s="22"/>
    </row>
    <row r="44" spans="1:20" s="20" customFormat="1" ht="15" customHeight="1">
      <c r="A44" s="21"/>
      <c r="C44" s="21"/>
      <c r="E44" s="21"/>
      <c r="G44" s="21"/>
      <c r="I44" s="21"/>
      <c r="K44" s="21"/>
      <c r="M44" s="21"/>
      <c r="O44" s="21"/>
      <c r="P44" s="21"/>
      <c r="Q44" s="21"/>
      <c r="S44" s="21"/>
      <c r="T44" s="22"/>
    </row>
    <row r="45" spans="1:20" s="20" customFormat="1" ht="15" customHeight="1">
      <c r="A45" s="21"/>
      <c r="C45" s="21"/>
      <c r="E45" s="21"/>
      <c r="G45" s="21"/>
      <c r="I45" s="21"/>
      <c r="K45" s="21"/>
      <c r="M45" s="21"/>
      <c r="O45" s="21"/>
      <c r="P45" s="21"/>
      <c r="Q45" s="21"/>
      <c r="S45" s="21"/>
      <c r="T45" s="22"/>
    </row>
    <row r="46" spans="1:20" s="20" customFormat="1" ht="15" customHeight="1">
      <c r="A46" s="21"/>
      <c r="C46" s="21"/>
      <c r="E46" s="21"/>
      <c r="G46" s="21"/>
      <c r="I46" s="21"/>
      <c r="K46" s="21"/>
      <c r="M46" s="21"/>
      <c r="O46" s="21"/>
      <c r="P46" s="21"/>
      <c r="Q46" s="21"/>
      <c r="S46" s="21"/>
      <c r="T46" s="22"/>
    </row>
    <row r="47" spans="1:20" s="20" customFormat="1" ht="15" customHeight="1">
      <c r="A47" s="21"/>
      <c r="C47" s="21"/>
      <c r="E47" s="21"/>
      <c r="G47" s="21"/>
      <c r="I47" s="21"/>
      <c r="K47" s="21"/>
      <c r="M47" s="21"/>
      <c r="O47" s="21"/>
      <c r="P47" s="21"/>
      <c r="Q47" s="21"/>
      <c r="S47" s="21"/>
      <c r="T47" s="22"/>
    </row>
    <row r="48" spans="1:20" s="20" customFormat="1" ht="15" customHeight="1">
      <c r="A48" s="21"/>
      <c r="C48" s="21"/>
      <c r="E48" s="21"/>
      <c r="G48" s="21"/>
      <c r="I48" s="21"/>
      <c r="K48" s="21"/>
      <c r="M48" s="21"/>
      <c r="O48" s="21"/>
      <c r="P48" s="21"/>
      <c r="Q48" s="21"/>
      <c r="S48" s="21"/>
      <c r="T48" s="22"/>
    </row>
    <row r="49" spans="1:20" s="20" customFormat="1" ht="15" customHeight="1">
      <c r="A49" s="21"/>
      <c r="C49" s="21"/>
      <c r="E49" s="21"/>
      <c r="G49" s="21"/>
      <c r="I49" s="21"/>
      <c r="K49" s="21"/>
      <c r="M49" s="21"/>
      <c r="O49" s="21"/>
      <c r="P49" s="21"/>
      <c r="Q49" s="21"/>
      <c r="S49" s="21"/>
      <c r="T49" s="22"/>
    </row>
    <row r="50" spans="1:20" s="20" customFormat="1" ht="15" customHeight="1">
      <c r="A50" s="21"/>
      <c r="C50" s="21"/>
      <c r="E50" s="21"/>
      <c r="G50" s="21"/>
      <c r="I50" s="21"/>
      <c r="K50" s="21"/>
      <c r="M50" s="21"/>
      <c r="O50" s="21"/>
      <c r="P50" s="21"/>
      <c r="Q50" s="21"/>
      <c r="S50" s="21"/>
      <c r="T50" s="22"/>
    </row>
    <row r="51" spans="1:20" s="20" customFormat="1" ht="15" customHeight="1">
      <c r="A51" s="21"/>
      <c r="C51" s="21"/>
      <c r="E51" s="21"/>
      <c r="G51" s="21"/>
      <c r="I51" s="21"/>
      <c r="K51" s="21"/>
      <c r="M51" s="21"/>
      <c r="O51" s="21"/>
      <c r="P51" s="21"/>
      <c r="Q51" s="21"/>
      <c r="S51" s="21"/>
      <c r="T51" s="22"/>
    </row>
    <row r="52" spans="1:20" s="20" customFormat="1" ht="15" customHeight="1">
      <c r="A52" s="21"/>
      <c r="C52" s="21"/>
      <c r="E52" s="21"/>
      <c r="G52" s="21"/>
      <c r="I52" s="21"/>
      <c r="K52" s="21"/>
      <c r="M52" s="21"/>
      <c r="O52" s="21"/>
      <c r="P52" s="21"/>
      <c r="Q52" s="21"/>
      <c r="S52" s="21"/>
      <c r="T52" s="22"/>
    </row>
    <row r="53" spans="1:20" s="20" customFormat="1" ht="15" customHeight="1">
      <c r="A53" s="21"/>
      <c r="C53" s="21"/>
      <c r="E53" s="21"/>
      <c r="G53" s="21"/>
      <c r="I53" s="21"/>
      <c r="K53" s="21"/>
      <c r="M53" s="21"/>
      <c r="O53" s="21"/>
      <c r="P53" s="21"/>
      <c r="Q53" s="21"/>
      <c r="S53" s="21"/>
      <c r="T53" s="22"/>
    </row>
    <row r="54" spans="1:20" s="20" customFormat="1" ht="15" customHeight="1">
      <c r="A54" s="21"/>
      <c r="C54" s="21"/>
      <c r="E54" s="21"/>
      <c r="G54" s="21"/>
      <c r="I54" s="21"/>
      <c r="K54" s="21"/>
      <c r="M54" s="21"/>
      <c r="O54" s="21"/>
      <c r="P54" s="21"/>
      <c r="Q54" s="21"/>
      <c r="S54" s="21"/>
      <c r="T54" s="22"/>
    </row>
    <row r="55" spans="1:20" s="20" customFormat="1" ht="15" customHeight="1">
      <c r="A55" s="21"/>
      <c r="C55" s="21"/>
      <c r="E55" s="21"/>
      <c r="G55" s="21"/>
      <c r="I55" s="21"/>
      <c r="K55" s="21"/>
      <c r="M55" s="21"/>
      <c r="O55" s="21"/>
      <c r="P55" s="21"/>
      <c r="Q55" s="21"/>
      <c r="S55" s="21"/>
      <c r="T55" s="22"/>
    </row>
    <row r="56" spans="1:20" s="20" customFormat="1" ht="15" customHeight="1">
      <c r="A56" s="21"/>
      <c r="C56" s="21"/>
      <c r="E56" s="21"/>
      <c r="G56" s="21"/>
      <c r="I56" s="21"/>
      <c r="K56" s="21"/>
      <c r="M56" s="21"/>
      <c r="O56" s="21"/>
      <c r="P56" s="21"/>
      <c r="Q56" s="21"/>
      <c r="S56" s="21"/>
      <c r="T56" s="22"/>
    </row>
    <row r="57" spans="1:20" s="20" customFormat="1" ht="15" customHeight="1">
      <c r="A57" s="21"/>
      <c r="C57" s="21"/>
      <c r="E57" s="21"/>
      <c r="G57" s="21"/>
      <c r="I57" s="21"/>
      <c r="K57" s="21"/>
      <c r="M57" s="21"/>
      <c r="O57" s="21"/>
      <c r="P57" s="21"/>
      <c r="Q57" s="21"/>
      <c r="S57" s="21"/>
      <c r="T57" s="22"/>
    </row>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sheetData>
  <sheetProtection password="ED45" sheet="1"/>
  <autoFilter ref="A3:V3"/>
  <mergeCells count="12">
    <mergeCell ref="K2:L2"/>
    <mergeCell ref="M2:N2"/>
    <mergeCell ref="A2:B2"/>
    <mergeCell ref="C2:D2"/>
    <mergeCell ref="E2:F2"/>
    <mergeCell ref="U2:U3"/>
    <mergeCell ref="V2:V3"/>
    <mergeCell ref="I2:J2"/>
    <mergeCell ref="R2:R3"/>
    <mergeCell ref="S2:T2"/>
    <mergeCell ref="O2:Q2"/>
    <mergeCell ref="G2:H2"/>
  </mergeCells>
  <dataValidations count="2">
    <dataValidation type="list" allowBlank="1" showInputMessage="1" showErrorMessage="1" sqref="C8:D19 C21:D22 C4:D6">
      <formula1>#REF!</formula1>
    </dataValidation>
    <dataValidation type="list" allowBlank="1" showInputMessage="1" showErrorMessage="1" sqref="F21:F22 F4:F6 F8:F19">
      <formula1>$AY$24:$AY$44</formula1>
    </dataValidation>
  </dataValidation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2015-09-22T20:01:04Z</dcterms:modified>
  <cp:category/>
  <cp:version/>
  <cp:contentType/>
  <cp:contentStatus/>
</cp:coreProperties>
</file>