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58" activeTab="6"/>
  </bookViews>
  <sheets>
    <sheet name="Metas inversión 886" sheetId="1" r:id="rId1"/>
    <sheet name="Actividades inversión 886" sheetId="2" r:id="rId2"/>
    <sheet name="Metas inversión 872" sheetId="3" r:id="rId3"/>
    <sheet name="Actividades inversión 872" sheetId="4" r:id="rId4"/>
    <sheet name="Metas inversión 879" sheetId="5" r:id="rId5"/>
    <sheet name="Actividades inversión 879" sheetId="6" r:id="rId6"/>
    <sheet name="Actividades gestión" sheetId="7" r:id="rId7"/>
  </sheets>
  <externalReferences>
    <externalReference r:id="rId10"/>
    <externalReference r:id="rId11"/>
    <externalReference r:id="rId12"/>
    <externalReference r:id="rId13"/>
    <externalReference r:id="rId14"/>
    <externalReference r:id="rId15"/>
  </externalReferences>
  <definedNames>
    <definedName name="_xlnm._FilterDatabase" localSheetId="6" hidden="1">'Actividades gestión'!$A$3:$V$7</definedName>
    <definedName name="_xlnm._FilterDatabase" localSheetId="3" hidden="1">'Actividades inversión 872'!$A$14:$AU$17</definedName>
    <definedName name="_xlnm._FilterDatabase" localSheetId="5" hidden="1">'Actividades inversión 879'!$A$12:$AR$18</definedName>
    <definedName name="_xlnm._FilterDatabase" localSheetId="2" hidden="1">'Metas inversión 872'!$A$18:$AA$39</definedName>
    <definedName name="_xlnm._FilterDatabase" localSheetId="4" hidden="1">'Metas inversión 879'!$A$15:$AA$63</definedName>
    <definedName name="_xlnm._FilterDatabase" localSheetId="0" hidden="1">'Metas inversión 886'!$A$15:$AA$127</definedName>
    <definedName name="_xlnm.Print_Area" localSheetId="3">'Actividades inversión 872'!$A$1:$AV$18</definedName>
    <definedName name="_xlnm.Print_Area" localSheetId="2">'Metas inversión 872'!$E$1:$AR$40</definedName>
    <definedName name="_xlnm.Print_Area" localSheetId="4">'Metas inversión 879'!#REF!</definedName>
    <definedName name="_xlnm.Print_Area" localSheetId="0">'Metas inversión 886'!#REF!</definedName>
    <definedName name="OLE_LINK1" localSheetId="2">'Metas inversión 872'!$X$19</definedName>
  </definedNames>
  <calcPr fullCalcOnLoad="1"/>
</workbook>
</file>

<file path=xl/comments1.xml><?xml version="1.0" encoding="utf-8"?>
<comments xmlns="http://schemas.openxmlformats.org/spreadsheetml/2006/main">
  <authors>
    <author>sjgomez</author>
    <author>mmmadrid</author>
  </authors>
  <commentList>
    <comment ref="O16" authorId="0">
      <text>
        <r>
          <rPr>
            <b/>
            <sz val="9"/>
            <rFont val="Tahoma"/>
            <family val="2"/>
          </rPr>
          <t>sjgomez:</t>
        </r>
        <r>
          <rPr>
            <sz val="9"/>
            <rFont val="Tahoma"/>
            <family val="2"/>
          </rPr>
          <t xml:space="preserve">
meta de suma
</t>
        </r>
      </text>
    </comment>
    <comment ref="O32" authorId="0">
      <text>
        <r>
          <rPr>
            <b/>
            <sz val="9"/>
            <rFont val="Tahoma"/>
            <family val="2"/>
          </rPr>
          <t>sjgomez:</t>
        </r>
        <r>
          <rPr>
            <sz val="9"/>
            <rFont val="Tahoma"/>
            <family val="2"/>
          </rPr>
          <t xml:space="preserve">
meta constante</t>
        </r>
      </text>
    </comment>
    <comment ref="O48" authorId="0">
      <text>
        <r>
          <rPr>
            <b/>
            <sz val="9"/>
            <rFont val="Tahoma"/>
            <family val="2"/>
          </rPr>
          <t>sjgomez:</t>
        </r>
        <r>
          <rPr>
            <sz val="9"/>
            <rFont val="Tahoma"/>
            <family val="2"/>
          </rPr>
          <t xml:space="preserve">
meta constante</t>
        </r>
      </text>
    </comment>
    <comment ref="O64" authorId="0">
      <text>
        <r>
          <rPr>
            <b/>
            <sz val="9"/>
            <rFont val="Tahoma"/>
            <family val="2"/>
          </rPr>
          <t>sjgomez:</t>
        </r>
        <r>
          <rPr>
            <sz val="9"/>
            <rFont val="Tahoma"/>
            <family val="2"/>
          </rPr>
          <t xml:space="preserve">
meta de suma</t>
        </r>
      </text>
    </comment>
    <comment ref="P64" authorId="1">
      <text>
        <r>
          <rPr>
            <b/>
            <sz val="9"/>
            <rFont val="Tahoma"/>
            <family val="2"/>
          </rPr>
          <t>mmmadrid:</t>
        </r>
        <r>
          <rPr>
            <sz val="9"/>
            <rFont val="Tahoma"/>
            <family val="2"/>
          </rPr>
          <t xml:space="preserve">
PLANES DE LARGO PLAZO: Plan decenal de Salud Pública (se encuentra en alistamiento para la armonización)
PLANES DE MEDIANO PLAZO: Plan de Desarrollo, Plan territorial de Salud, Plan financiero plurianual.
PLANES DE CORTO PLAZO: Plan financiero plurianual territorial, 13 POAI (Planes operativos anuales de inversión- formulados e implementados), 13 POA (Planes operativos anuales por Dirección- en formulación)</t>
        </r>
      </text>
    </comment>
    <comment ref="P65" authorId="1">
      <text>
        <r>
          <rPr>
            <b/>
            <sz val="9"/>
            <rFont val="Tahoma"/>
            <family val="2"/>
          </rPr>
          <t>mmmadrid:</t>
        </r>
        <r>
          <rPr>
            <sz val="9"/>
            <rFont val="Tahoma"/>
            <family val="2"/>
          </rPr>
          <t xml:space="preserve">
TERRITORIOS SALUDABLES Y RED DE SALUD PARA LA VIDA DESDE LA DIVERSIDAD.
BOGOTA HUMANA AMBIENTALMENTE SALUDABLE.
BOGOTA DECIDE Y PROTEGE EL DERECHO FUNDAMENTAL A LA SALUD PUBLICA
</t>
        </r>
      </text>
    </comment>
    <comment ref="O80" authorId="0">
      <text>
        <r>
          <rPr>
            <b/>
            <sz val="9"/>
            <rFont val="Tahoma"/>
            <family val="2"/>
          </rPr>
          <t>sjgomez:</t>
        </r>
        <r>
          <rPr>
            <sz val="9"/>
            <rFont val="Tahoma"/>
            <family val="2"/>
          </rPr>
          <t xml:space="preserve">
meta de suma
</t>
        </r>
      </text>
    </comment>
    <comment ref="O96" authorId="0">
      <text>
        <r>
          <rPr>
            <b/>
            <sz val="9"/>
            <rFont val="Tahoma"/>
            <family val="2"/>
          </rPr>
          <t>sjgomez:</t>
        </r>
        <r>
          <rPr>
            <sz val="9"/>
            <rFont val="Tahoma"/>
            <family val="2"/>
          </rPr>
          <t xml:space="preserve">
meta de suma</t>
        </r>
      </text>
    </comment>
    <comment ref="O112" authorId="0">
      <text>
        <r>
          <rPr>
            <b/>
            <sz val="9"/>
            <rFont val="Tahoma"/>
            <family val="2"/>
          </rPr>
          <t>sjgomez:</t>
        </r>
        <r>
          <rPr>
            <sz val="9"/>
            <rFont val="Tahoma"/>
            <family val="2"/>
          </rPr>
          <t xml:space="preserve">
meta de suma</t>
        </r>
      </text>
    </comment>
  </commentList>
</comments>
</file>

<file path=xl/comments2.xml><?xml version="1.0" encoding="utf-8"?>
<comments xmlns="http://schemas.openxmlformats.org/spreadsheetml/2006/main">
  <authors>
    <author>sjgomez</author>
    <author>Cantor Nieto, Juan Isidro</author>
    <author>mmmadrid</author>
  </authors>
  <commentList>
    <comment ref="K13" authorId="0">
      <text>
        <r>
          <rPr>
            <b/>
            <sz val="9"/>
            <rFont val="Tahoma"/>
            <family val="2"/>
          </rPr>
          <t>sjgomez:</t>
        </r>
        <r>
          <rPr>
            <sz val="9"/>
            <rFont val="Tahoma"/>
            <family val="2"/>
          </rPr>
          <t xml:space="preserve">
suma
</t>
        </r>
      </text>
    </comment>
    <comment ref="K14" authorId="0">
      <text>
        <r>
          <rPr>
            <b/>
            <sz val="9"/>
            <rFont val="Tahoma"/>
            <family val="2"/>
          </rPr>
          <t>sjgomez:</t>
        </r>
        <r>
          <rPr>
            <sz val="9"/>
            <rFont val="Tahoma"/>
            <family val="2"/>
          </rPr>
          <t xml:space="preserve">
constante</t>
        </r>
      </text>
    </comment>
    <comment ref="K15" authorId="0">
      <text>
        <r>
          <rPr>
            <b/>
            <sz val="9"/>
            <rFont val="Tahoma"/>
            <family val="2"/>
          </rPr>
          <t>sjgomez:</t>
        </r>
        <r>
          <rPr>
            <sz val="9"/>
            <rFont val="Tahoma"/>
            <family val="2"/>
          </rPr>
          <t xml:space="preserve">
constante</t>
        </r>
      </text>
    </comment>
    <comment ref="K17" authorId="0">
      <text>
        <r>
          <rPr>
            <b/>
            <sz val="9"/>
            <rFont val="Tahoma"/>
            <family val="2"/>
          </rPr>
          <t>sjgomez:</t>
        </r>
        <r>
          <rPr>
            <sz val="9"/>
            <rFont val="Tahoma"/>
            <family val="2"/>
          </rPr>
          <t xml:space="preserve">
suma</t>
        </r>
      </text>
    </comment>
    <comment ref="K18" authorId="0">
      <text>
        <r>
          <rPr>
            <b/>
            <sz val="9"/>
            <rFont val="Tahoma"/>
            <family val="2"/>
          </rPr>
          <t>sjgomez:</t>
        </r>
        <r>
          <rPr>
            <sz val="9"/>
            <rFont val="Tahoma"/>
            <family val="2"/>
          </rPr>
          <t xml:space="preserve">
suma</t>
        </r>
      </text>
    </comment>
    <comment ref="K19" authorId="0">
      <text>
        <r>
          <rPr>
            <b/>
            <sz val="9"/>
            <rFont val="Tahoma"/>
            <family val="2"/>
          </rPr>
          <t>sjgomez:</t>
        </r>
        <r>
          <rPr>
            <sz val="9"/>
            <rFont val="Tahoma"/>
            <family val="2"/>
          </rPr>
          <t xml:space="preserve">
suma</t>
        </r>
      </text>
    </comment>
    <comment ref="K20" authorId="0">
      <text>
        <r>
          <rPr>
            <b/>
            <sz val="9"/>
            <rFont val="Tahoma"/>
            <family val="2"/>
          </rPr>
          <t>sjgomez:</t>
        </r>
        <r>
          <rPr>
            <sz val="9"/>
            <rFont val="Tahoma"/>
            <family val="2"/>
          </rPr>
          <t xml:space="preserve">
suma</t>
        </r>
      </text>
    </comment>
    <comment ref="K22" authorId="0">
      <text>
        <r>
          <rPr>
            <b/>
            <sz val="9"/>
            <rFont val="Tahoma"/>
            <family val="2"/>
          </rPr>
          <t>sjgomez:</t>
        </r>
        <r>
          <rPr>
            <sz val="9"/>
            <rFont val="Tahoma"/>
            <family val="2"/>
          </rPr>
          <t xml:space="preserve">
constante</t>
        </r>
      </text>
    </comment>
    <comment ref="K23" authorId="0">
      <text>
        <r>
          <rPr>
            <b/>
            <sz val="9"/>
            <rFont val="Tahoma"/>
            <family val="2"/>
          </rPr>
          <t>sjgomez:</t>
        </r>
        <r>
          <rPr>
            <sz val="9"/>
            <rFont val="Tahoma"/>
            <family val="2"/>
          </rPr>
          <t xml:space="preserve">
constante</t>
        </r>
      </text>
    </comment>
    <comment ref="K25" authorId="0">
      <text>
        <r>
          <rPr>
            <b/>
            <sz val="9"/>
            <rFont val="Tahoma"/>
            <family val="2"/>
          </rPr>
          <t>sjgomez:</t>
        </r>
        <r>
          <rPr>
            <sz val="9"/>
            <rFont val="Tahoma"/>
            <family val="2"/>
          </rPr>
          <t xml:space="preserve">
constante</t>
        </r>
      </text>
    </comment>
    <comment ref="K26" authorId="0">
      <text>
        <r>
          <rPr>
            <b/>
            <sz val="9"/>
            <rFont val="Tahoma"/>
            <family val="2"/>
          </rPr>
          <t>sjgomez:</t>
        </r>
        <r>
          <rPr>
            <sz val="9"/>
            <rFont val="Tahoma"/>
            <family val="2"/>
          </rPr>
          <t xml:space="preserve">
constante</t>
        </r>
      </text>
    </comment>
    <comment ref="K27" authorId="0">
      <text>
        <r>
          <rPr>
            <b/>
            <sz val="9"/>
            <rFont val="Tahoma"/>
            <family val="2"/>
          </rPr>
          <t>sjgomez:</t>
        </r>
        <r>
          <rPr>
            <sz val="9"/>
            <rFont val="Tahoma"/>
            <family val="2"/>
          </rPr>
          <t xml:space="preserve">
suma</t>
        </r>
      </text>
    </comment>
    <comment ref="L27" authorId="1">
      <text>
        <r>
          <rPr>
            <b/>
            <sz val="9"/>
            <rFont val="Tahoma"/>
            <family val="2"/>
          </rPr>
          <t>Cantor Nieto, Juan Isidro:</t>
        </r>
        <r>
          <rPr>
            <sz val="9"/>
            <rFont val="Tahoma"/>
            <family val="2"/>
          </rPr>
          <t xml:space="preserve">
En JUNIO se reportaron:
Evaluados: 218 Inscritos: 72; SIGUE IGUAL ???</t>
        </r>
      </text>
    </comment>
    <comment ref="K28" authorId="0">
      <text>
        <r>
          <rPr>
            <b/>
            <sz val="9"/>
            <rFont val="Tahoma"/>
            <family val="2"/>
          </rPr>
          <t>sjgomez:</t>
        </r>
        <r>
          <rPr>
            <sz val="9"/>
            <rFont val="Tahoma"/>
            <family val="2"/>
          </rPr>
          <t xml:space="preserve">
suma</t>
        </r>
      </text>
    </comment>
    <comment ref="K29" authorId="0">
      <text>
        <r>
          <rPr>
            <b/>
            <sz val="9"/>
            <rFont val="Tahoma"/>
            <family val="2"/>
          </rPr>
          <t>sjgomez:</t>
        </r>
        <r>
          <rPr>
            <sz val="9"/>
            <rFont val="Tahoma"/>
            <family val="2"/>
          </rPr>
          <t xml:space="preserve">
suma</t>
        </r>
      </text>
    </comment>
    <comment ref="K30" authorId="0">
      <text>
        <r>
          <rPr>
            <b/>
            <sz val="9"/>
            <rFont val="Tahoma"/>
            <family val="2"/>
          </rPr>
          <t>sjgomez:</t>
        </r>
        <r>
          <rPr>
            <sz val="9"/>
            <rFont val="Tahoma"/>
            <family val="2"/>
          </rPr>
          <t xml:space="preserve">
suma</t>
        </r>
      </text>
    </comment>
    <comment ref="K31" authorId="0">
      <text>
        <r>
          <rPr>
            <b/>
            <sz val="9"/>
            <rFont val="Tahoma"/>
            <family val="2"/>
          </rPr>
          <t>sjgomez:</t>
        </r>
        <r>
          <rPr>
            <sz val="9"/>
            <rFont val="Tahoma"/>
            <family val="2"/>
          </rPr>
          <t xml:space="preserve">
suma</t>
        </r>
      </text>
    </comment>
    <comment ref="K32" authorId="0">
      <text>
        <r>
          <rPr>
            <b/>
            <sz val="9"/>
            <rFont val="Tahoma"/>
            <family val="2"/>
          </rPr>
          <t>sjgomez:</t>
        </r>
        <r>
          <rPr>
            <sz val="9"/>
            <rFont val="Tahoma"/>
            <family val="2"/>
          </rPr>
          <t xml:space="preserve">
suma</t>
        </r>
      </text>
    </comment>
    <comment ref="K33" authorId="0">
      <text>
        <r>
          <rPr>
            <b/>
            <sz val="9"/>
            <rFont val="Tahoma"/>
            <family val="2"/>
          </rPr>
          <t>sjgomez:</t>
        </r>
        <r>
          <rPr>
            <sz val="9"/>
            <rFont val="Tahoma"/>
            <family val="2"/>
          </rPr>
          <t xml:space="preserve">
suma</t>
        </r>
      </text>
    </comment>
    <comment ref="L33" authorId="2">
      <text>
        <r>
          <rPr>
            <b/>
            <sz val="9"/>
            <rFont val="Tahoma"/>
            <family val="2"/>
          </rPr>
          <t>mmmadrid:</t>
        </r>
        <r>
          <rPr>
            <sz val="9"/>
            <rFont val="Tahoma"/>
            <family val="2"/>
          </rPr>
          <t xml:space="preserve">
- Matriz Del ministerio consolidada
- 18 planes anuales de adquisiciones
- Seguimientos a los proyectos de inversión</t>
        </r>
      </text>
    </comment>
    <comment ref="K34" authorId="0">
      <text>
        <r>
          <rPr>
            <b/>
            <sz val="9"/>
            <rFont val="Tahoma"/>
            <family val="2"/>
          </rPr>
          <t>sjgomez:</t>
        </r>
        <r>
          <rPr>
            <sz val="9"/>
            <rFont val="Tahoma"/>
            <family val="2"/>
          </rPr>
          <t xml:space="preserve">
suma</t>
        </r>
      </text>
    </comment>
    <comment ref="L34" authorId="2">
      <text>
        <r>
          <rPr>
            <b/>
            <sz val="9"/>
            <rFont val="Tahoma"/>
            <family val="2"/>
          </rPr>
          <t>mmmadrid:</t>
        </r>
        <r>
          <rPr>
            <sz val="9"/>
            <rFont val="Tahoma"/>
            <family val="2"/>
          </rPr>
          <t xml:space="preserve">
Validador RIPS (Validación de los Registros Individuales RIPS mensual (1))
</t>
        </r>
      </text>
    </comment>
  </commentList>
</comments>
</file>

<file path=xl/comments3.xml><?xml version="1.0" encoding="utf-8"?>
<comments xmlns="http://schemas.openxmlformats.org/spreadsheetml/2006/main">
  <authors>
    <author>sjgomez</author>
  </authors>
  <commentList>
    <comment ref="O19" authorId="0">
      <text>
        <r>
          <rPr>
            <b/>
            <sz val="9"/>
            <rFont val="Tahoma"/>
            <family val="2"/>
          </rPr>
          <t>sjgomez:</t>
        </r>
        <r>
          <rPr>
            <sz val="9"/>
            <rFont val="Tahoma"/>
            <family val="2"/>
          </rPr>
          <t xml:space="preserve">
meta de suma</t>
        </r>
      </text>
    </comment>
  </commentList>
</comments>
</file>

<file path=xl/comments5.xml><?xml version="1.0" encoding="utf-8"?>
<comments xmlns="http://schemas.openxmlformats.org/spreadsheetml/2006/main">
  <authors>
    <author>sjgomez</author>
  </authors>
  <commentList>
    <comment ref="O16" authorId="0">
      <text>
        <r>
          <rPr>
            <b/>
            <sz val="9"/>
            <rFont val="Tahoma"/>
            <family val="2"/>
          </rPr>
          <t>sjgomez:</t>
        </r>
        <r>
          <rPr>
            <sz val="9"/>
            <rFont val="Tahoma"/>
            <family val="2"/>
          </rPr>
          <t xml:space="preserve">
meta de suma</t>
        </r>
      </text>
    </comment>
    <comment ref="O32" authorId="0">
      <text>
        <r>
          <rPr>
            <b/>
            <sz val="9"/>
            <rFont val="Tahoma"/>
            <family val="2"/>
          </rPr>
          <t>sjgomez:</t>
        </r>
        <r>
          <rPr>
            <sz val="9"/>
            <rFont val="Tahoma"/>
            <family val="2"/>
          </rPr>
          <t xml:space="preserve">
meta de suma</t>
        </r>
      </text>
    </comment>
    <comment ref="O48" authorId="0">
      <text>
        <r>
          <rPr>
            <b/>
            <sz val="9"/>
            <rFont val="Tahoma"/>
            <family val="2"/>
          </rPr>
          <t>sjgomez:</t>
        </r>
        <r>
          <rPr>
            <sz val="9"/>
            <rFont val="Tahoma"/>
            <family val="2"/>
          </rPr>
          <t xml:space="preserve">
meta de suma</t>
        </r>
      </text>
    </comment>
  </commentList>
</comments>
</file>

<file path=xl/comments7.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47" authorId="1">
      <text>
        <r>
          <rPr>
            <sz val="11"/>
            <rFont val="Tahoma"/>
            <family val="2"/>
          </rPr>
          <t>El objetivo es cumplir el 100% durante cada trimestre.</t>
        </r>
      </text>
    </comment>
    <comment ref="S49" authorId="1">
      <text>
        <r>
          <rPr>
            <sz val="11"/>
            <rFont val="Tahoma"/>
            <family val="2"/>
          </rPr>
          <t>El objetivo es cumplir el 100% durante cada trimestre.</t>
        </r>
      </text>
    </comment>
  </commentList>
</comments>
</file>

<file path=xl/sharedStrings.xml><?xml version="1.0" encoding="utf-8"?>
<sst xmlns="http://schemas.openxmlformats.org/spreadsheetml/2006/main" count="1321" uniqueCount="366">
  <si>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</si>
  <si>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</si>
  <si>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</si>
  <si>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</si>
  <si>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</si>
  <si>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</si>
  <si>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</si>
  <si>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</si>
  <si>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</si>
  <si>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</si>
  <si>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</si>
  <si>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</si>
  <si>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</si>
  <si>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</si>
  <si>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</si>
  <si>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</si>
  <si>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</si>
  <si>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</si>
  <si>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</si>
  <si>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</si>
  <si>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Gobernanza y Rectoría</t>
  </si>
  <si>
    <t>Fortalecer el liderazgo de la Secretaria Distrital de Salud en la gestión del conocimiento como bien público, mediante la investigación, el análisis en salud y el desarrollo tecnológico y científico, con la participación de la academia, las instituciones y la comunidad, orientando la política de ciencia, tecnología e innovación en salud, de manera que se convierta en factor clave del desarrollo, el progreso social y la equidad, con empoderamiento en los actores del Sistema General de Seguridad Social en Salud.</t>
  </si>
  <si>
    <t xml:space="preserve">Bogotá Decide y Protege el Derecho Fundamental a la Salud Pública </t>
  </si>
  <si>
    <t>Conocimiento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</si>
  <si>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</si>
  <si>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Formular e implementar la Política Pública de Innovación, Ciencia y Tecnología en Salud para el Distrito Capital, a 2016. 128</t>
  </si>
  <si>
    <t>X</t>
  </si>
  <si>
    <t>Gestión Política y técnica de los procesos y procedimientos de Investigaciones y Cooperación en Ciencia Tecnología e Innovación en Salud.</t>
  </si>
  <si>
    <t>Gestión financiera y administrativa de los procesos y procedimientos de Investigaciones y Cooperación en Ciencia Tecnología e Innovación en Salud.</t>
  </si>
  <si>
    <t xml:space="preserve">Gestión polítcia y técnica </t>
  </si>
  <si>
    <t>Gestión financiera y administrativa</t>
  </si>
  <si>
    <t>Componente de Gobernanza y Rectoría</t>
  </si>
  <si>
    <t>Bogotá decide y protege el derecho fundamental a la salud pública</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</si>
  <si>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</si>
  <si>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</si>
  <si>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 xml:space="preserve">Diseño, formulación e implementación de  la política Distrital de ciencia, tecnología e Innovación en Salud
</t>
  </si>
  <si>
    <t>Movilización del conocimiento a través de estrategias como observatorio, revista, alianzas y el portal del conocimiento (biblioteca)</t>
  </si>
  <si>
    <t>x</t>
  </si>
  <si>
    <t>% de avance del diseño, formulación e implementación de   la Política Distrital de ciencia, tecnología e Innovación en Salud</t>
  </si>
  <si>
    <t>Número de Estrategias de movilización del conocimiento funcionando</t>
  </si>
  <si>
    <t>Número de investigaciones formuladas y desarrolladas</t>
  </si>
  <si>
    <t xml:space="preserve"> Gobernanza y Rectoría</t>
  </si>
  <si>
    <t xml:space="preserve">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 </t>
  </si>
  <si>
    <t>Fortalecimiento de la Gestión y Planeación para la Salud</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</si>
  <si>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</si>
  <si>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Construir y poner en funcionamiento el 100% del sistema de Análisis y Evaluación y Políticas de Salud para el Distrito Capital como base para la formulación y ajuste de planes, programas y proyectos, al 2016.</t>
  </si>
  <si>
    <t>Garantizar el financiamiento del 100% del  Plan Territorial de Salud.</t>
  </si>
  <si>
    <t>Formular, implementar y realizar seguimiento de los planes, programas, proyectos y presupuestos  del sector público de la salud de Bogotá.</t>
  </si>
  <si>
    <t>Gobernanza y Rectoria</t>
  </si>
  <si>
    <t xml:space="preserve">Superar la segregación e inequidad en salud de la población  en los territorios del D.C.,  mediante la formulacion, ejecución, monitoreo y evalualuación  de políticas públicas sanitarias , que den respuesta  a las necesidades y expectativas  de la población de la  ciudad,  afectando los determinantes de la salud intersectorialmente, la sostenibilidad financiera, la gestión transparente, la vigilancia  de las instituciones  y la protección  de los recursos . </t>
  </si>
  <si>
    <t xml:space="preserve">Programa Bogota Humana : participa y decide </t>
  </si>
  <si>
    <t xml:space="preserve">Fortalecimiento de las capacidades de gestión y coordinación del nivel central  y las localidades desde los territorios
</t>
  </si>
  <si>
    <t xml:space="preserve">Formular y Gestionar 20 planes locales armonizados a las políticas públicas en salud, Plan de Desarrollo Distrital y necesidades de los territorios en el Distrito Capital. </t>
  </si>
  <si>
    <t>Diseño e implementación de instrumentos de seguimiento y evaluación de las políticas en salud del Distrito Capital.</t>
  </si>
  <si>
    <t>Asistencia  técnica  a los referentes de políticas en salud de  responsabilidad de la entidad, en la aplicación de la metodología definida para el análisis y evaluación en sus diferentes etapas.</t>
  </si>
  <si>
    <t xml:space="preserve">Seguimiento y análisis de las políticas en salud  en la etapa del Ciclo en la que se encuentre la política. </t>
  </si>
  <si>
    <t>Formulación e Implementación de la política de financiamiento del sector salud</t>
  </si>
  <si>
    <t>Formulación e implementación de estrategias para garantizar el financiamiento y la sostenibilidad de las fuentes de financiación del sector salud en Bogotá</t>
  </si>
  <si>
    <t>Asesoría y seguimiento a las Empresas Administradoras  de los  Planes de Beneficios - EAPB en el proseso de implementación y ejecución de lo contemplado en el Plan Territorial de Salud 2012-2016</t>
  </si>
  <si>
    <t>Asistencia técnica para la formulación, ejecución, seguimiento y evaluación de los proyectos de inversión del Fondo Financiero Distrital de Salud en el marco del Plan de Desarrollo "Bogotá Humana" 2012-2016</t>
  </si>
  <si>
    <t>Evaluación y registro de los proyectos de las Empresas Sociales del Estado</t>
  </si>
  <si>
    <t>Articulación de instancias de coordinación distrital, local e institucional con el fin de establecer acciones  sectoriales e intersectoriales para el  seguimiento de políticas de salud y la gestión de los diferentes actores e instituciones de salud del D.C.</t>
  </si>
  <si>
    <t>Implementación de directrices y lineamientos impartidos por organismos de  dirección, vigilancia y control en salud, del orden Distrital y Nacional.</t>
  </si>
  <si>
    <t>Desarrollo de estrategias que  optimicen los recursos humanos, financieros y técnicos, destinados a la implementación de políticas de salud.</t>
  </si>
  <si>
    <t>Espacios de análisis entre las distintas dependencias de la Secretaría Distrital de Salud,  Empresas Sociales del Estado, y los demás Sectores del Sistema General de Seguridad Social en Salud que permita la integración y unificación de los conceptos, procesos e instrumentos para garantizar la adecuada ejecución del Plan Territorial de Salud</t>
  </si>
  <si>
    <t>Análisis de la situación de salud de la población del Distrito Capital a las metas de impacto de mortalidad evitable del Plan  de Desarrollo Bogotá Humana y del Territorial de Salud 2012 - 2016.</t>
  </si>
  <si>
    <t>Análisis, seguimiento y evaluación de los compromisos contemplados en el Plan Teritorial de salud y el Plan de Desarrollo Bogotá Humana 2012-2016</t>
  </si>
  <si>
    <t>Diseño e implementación de instrumentos de formulación, implementación, seguimiento y control de planes programas y proyectos del sector salud del Distrito Capital.</t>
  </si>
  <si>
    <t>Programación, actualización y seguimiento a las acciones en salud dirigidas a infancia y adolescencia.</t>
  </si>
  <si>
    <t xml:space="preserve">Liderar, coordinar, formular, actualizar, realizar seguimiento y emitir conceptos y respuestas  del Plan de adquisiciones del FFDS y del SDS. </t>
  </si>
  <si>
    <t>Gestionar internamente y ante las Secretarias de Hacienda y Planeación Distrital las actializaciones financiera de los Proyectos de Inversión del Fondo Financiero Distrital de Salud.</t>
  </si>
  <si>
    <t xml:space="preserve">Elaborar los informes requeridos por los entes de control y demas actores de la Ciudad </t>
  </si>
  <si>
    <t xml:space="preserve">Garantizar el desarrollo Institucional a través de la planeacion, ejeccucion, seguimiento y evaluación al proceso de RIPS  </t>
  </si>
  <si>
    <t>Parametrizar, consolidar , revisar los de Boletines de Estadística de la SDS</t>
  </si>
  <si>
    <t>Diseño de  estrategias para realizar seguimiento a la gestión institucional e implementación de las políticas de salud.</t>
  </si>
  <si>
    <t xml:space="preserve">Evaluación de las políticas de salud incorporadas en los planes locales a traves de la implementación de las estrategias </t>
  </si>
  <si>
    <t>Articulación de propuestas estratégicas de concurrencia, complementariedad y/o subsidiariedad para el desarrollo de políticas públicas en salud, a nivel distrital y local.</t>
  </si>
  <si>
    <t>Gestión, asesoría, apoyo técnico y administrativo para la destinación de recursos que fortalezcan la inversión en salud por parte de los fondos de desarrollo local, según las líneas de inversión definidas.</t>
  </si>
  <si>
    <t>Porcentaje de avance en el diseño e implementación de instrumentos de seguimiento y evaluación</t>
  </si>
  <si>
    <t xml:space="preserve">porcentaje de avance de asistencia técnica a los referentes de políticas
</t>
  </si>
  <si>
    <t>Porcentaje de avance en el seguimiento y análisis de las políticas en salud</t>
  </si>
  <si>
    <t xml:space="preserve">Porcentaje de avance en la formulación e  implementación de estrategias para la sostenibilidad  financiera de la política pública del sector salud
</t>
  </si>
  <si>
    <t>Porcentaje de avance en el diseño e implementación de estrategias de financiamiento para garantizar el cumplimiento de las metas del Plan Territorial de Salud y el Plan de Desarrollo "Bogotá Humana" 2012-2016</t>
  </si>
  <si>
    <t xml:space="preserve">Plan de Salud  cuatrienal anualizado por asegurador </t>
  </si>
  <si>
    <t xml:space="preserve">Número de Proyectos del Fondo Financiero de Salud implementados </t>
  </si>
  <si>
    <t xml:space="preserve">Número de proyectos evaluados e inscritos de las Empresas Sociales del Estado </t>
  </si>
  <si>
    <t xml:space="preserve">INDICADOR: % de avance en la articulación de acciones  con las diferentes instancias de coordinación sectoriales e intersectoriales para el seguimiento de políticas de salud.
</t>
  </si>
  <si>
    <t xml:space="preserve">INDICADOR: % de avance en la implementación de directrices y lineamientos impartidos por organismos de dirección, vigilancia y control.
</t>
  </si>
  <si>
    <t xml:space="preserve">INDICADOR: % de avance en el desarrollo de estrategias propuestas para optimizar recursos humanos, financieros y técnicos destinados a la implementación de políticas de salud.
</t>
  </si>
  <si>
    <t>Número de documento técnico de análisis de metas del Plan Territorial de Salud</t>
  </si>
  <si>
    <t xml:space="preserve">Número de Documentos técnicos de análisis, seguimiento y evaluación de los compromisos del Plan Territorial de Salud </t>
  </si>
  <si>
    <t>Número de Documentos técnicos implementados</t>
  </si>
  <si>
    <t>Porcentaje de actualización de los Proyectos de Inversión del FFDS</t>
  </si>
  <si>
    <t>Porcentaje de cumplimeirnto en la elaboración y presentación de los diferentes informes requeridos por los entes de control y demas actores de la Ciudad</t>
  </si>
  <si>
    <t xml:space="preserve">% de avance en el desarrollo Institucional del proceso de RIPS </t>
  </si>
  <si>
    <t xml:space="preserve">N° de análisis de información con base a RIPS </t>
  </si>
  <si>
    <t xml:space="preserve">N° de reportes de información con base a RIPS </t>
  </si>
  <si>
    <t xml:space="preserve">N° de boletines estadisticos parametrizados publicados en en el  periodo </t>
  </si>
  <si>
    <t xml:space="preserve"> % de avance en el diseño de las estrategias para el seguimiento a la gestión institucional e implementación de las políticas de salud.
</t>
  </si>
  <si>
    <t xml:space="preserve"> % de avance en el seguimiento y evaluación de la gestión de las políticas de salud.
</t>
  </si>
  <si>
    <t xml:space="preserve">% de avance en  la articulación de propuestas de concurrencia, complementariedad y/o subsidiariedad para el desarrollo de políticas publicas en salud, a nivel Distrital y Local. 
</t>
  </si>
  <si>
    <t>% de avance en la gestión, asesoría, apoyo técnico y administrativo para la destinación de recursos en salud, por parte de los Fondos de Desarrollo local.</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</si>
  <si>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</si>
  <si>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Eje Programático de Prestación y Desarrollo de Servicios de Salud</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</si>
  <si>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</si>
  <si>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Territorios saludables y red de salud para la vida desde la diversidad</t>
  </si>
  <si>
    <t>Ciudad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</si>
  <si>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</si>
  <si>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E01C02OB02P879M01</t>
  </si>
  <si>
    <t xml:space="preserve">Vigilar y apoyar  al 100% de los hospitales  del área de influencia del proyecto en la normalización de sus equipamientos respecto del Plan Maestro de Equipamientos de Salud y de acuerdo al estudio de Factibilidad del proyecto Ciudad Salud Región 
</t>
  </si>
  <si>
    <t>E01C02OB02P879M02</t>
  </si>
  <si>
    <t xml:space="preserve">Adoptar el modelo de Gestión y operación interinstitucional del proyecto Ciudad Salud Región
</t>
  </si>
  <si>
    <t>E01C02OB02P879M03</t>
  </si>
  <si>
    <t xml:space="preserve">Consolidar a la red pública adscrita de Bogotá como socio estratégico de la puesta en marcha y operación del Clúster de Servicios de Salud – Ciudad Salud 
</t>
  </si>
  <si>
    <t xml:space="preserve">Porcentaje de articulación intersectorial en el proceso de operación  del proyecto Ciudad Salud 
</t>
  </si>
  <si>
    <t>Programado 2015</t>
  </si>
  <si>
    <t>Ejecutado
2015</t>
  </si>
  <si>
    <t>Gestión del conocimiento a través del desarrollo de investigaciones y el fomento de la innovación</t>
  </si>
  <si>
    <t>Liderar el trabajo Sectorial e Intersectorial para la armonización del Plan 
Territorial de salud 2012 -2016  con el Plan Decenal de Salud Publica de acuerdo con la normatividad y los lineamientos dados por el Ministerio de Salud y la Protección Social, el alistamiento para la  formulación del Plan Territorial en Salud 2016-2020 en el marco del mismo plan.</t>
  </si>
  <si>
    <t>Realizar seguimiento a las acciones en salud, dirigidas a los grupos especiales de población (Victimas del conflicto armado, LGBTI, Afrodecendientes, adulto mayor y ROOM).</t>
  </si>
  <si>
    <t>Realizar seguimiento y evaluación a las lineas de inversión en Salud en las localidades.</t>
  </si>
  <si>
    <t>Revisión y ajuste a los documentos de analisis de información relacionados con eventos de interés en Salud Pública, basados en los registros de prestación de salud.</t>
  </si>
  <si>
    <t>Generar salidas de información de acuerdo a las solicitudes realizadas por entes internos y externos.</t>
  </si>
  <si>
    <t>Porcentaje de avance en la armonización del Plan Territorial de salud 2012 -2016  con el Plan Decenal de Salud Publica.</t>
  </si>
  <si>
    <t>Numero de matrices de seguimiento trimestral actualizada con la información de  los grupos especiales de población (Victimas del conflicto armado, LGBTI, Afrodecendientes, adulto mayor y ROOM).</t>
  </si>
  <si>
    <t>Numero de matrices de seguimiento mensual por localidad con los Proyectos de Inversión en Salud</t>
  </si>
  <si>
    <t>Porcentaje de seguimiento a las acciones n salud dirigidas a infancia y adolescencia.</t>
  </si>
  <si>
    <t xml:space="preserve">Porcentaje de seguimiento al Plan de adquisiciones del FFDS y del SDS. </t>
  </si>
  <si>
    <t>Evaluados 170
Inscritos 55</t>
  </si>
  <si>
    <t>Incorporación de instrumentos normativos  (planes de regularización, planes parciales  y el Plan Especial de Manejo de Protección para el Hospital San Juan de Dios y el Instituto Materno Infantil según Ciudad Salud)</t>
  </si>
  <si>
    <t xml:space="preserve">Articulación intersectorial en el proceso de operación  del proyecto Ciudad Salud </t>
  </si>
  <si>
    <t>Acciones de coordinación entre la Secretaría Distrital de Salud y el gobierno del Clúster (operadores públicos - privados)</t>
  </si>
  <si>
    <t xml:space="preserve">Porcentaje de cumplimiento en la normalización de sus equipamientos respecto del Plan Maestro de Equipamientos de Salud y de acuerdo con el estudio de Factibilidad del proyecto Ciudad Salud Región en las ESE localizadas en el área de influenza del proyecto 
</t>
  </si>
  <si>
    <t xml:space="preserve">Porcentaje de acciones de coordinación entre la Secretaría Distrital de Salud y el gobierno del Clúster (operadores públicos - privados)
</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</si>
  <si>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</si>
  <si>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</si>
  <si>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Seguimiento trimestral</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</si>
  <si>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</si>
  <si>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</si>
  <si>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</si>
  <si>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</si>
  <si>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Seguimiento Anual</t>
  </si>
  <si>
    <t xml:space="preserve">Se llevaron a cabo encuentros con diferentes actores, con la empresa española Dentix, Invest in Bogotá y Procolombia, con el Centro Regulador de Urgencias y Emergencias de Barcelona, con el Fondo Noruego-Sueco de Cooperación, con la Agencia de Cooperación Alemana –GIZ-, con la Embajada Belga, con la Embajada Cubana, con la municipalidad de Santiago de Chile,  con la Organización Panamericana de la Salud, con el Ministerio de Salud de Chile, en alianza con la OPS/OMS, con el Instituto del Trauma de Costa Rica, con el Hospital de la Charité en Berlin, el Ministerio de Salud de Costa Rica,  con la Pan American Development Foundation, Oficina adscrita a la Organización de Estados Americanos, con la Oficina principal de la Red Latinoamericana de Salud sin Daño en Argentina, con la Generalitat de Cataluña en temas de salud y con la con la Dirección Distrital de Relaciones Internacionales-DDRI para Bogotá Climate Summit.
</t>
  </si>
  <si>
    <t xml:space="preserve">Se actualiza el mes de julio el proyecto de inversión “872 Conocimiento para la Salud” en el aspecto técnico y financiero acorde al presupuesto 2015 y se actualiza el aplicativo SISCO  Actualización de las Modificaciones realizadas al Plan de adquisiciones del proyecto 872 y Actualización Fechas y valores de 20 Requerimientos, y a su vez se actualizo el proceso precontractual en el Aplicativo (Registro de la Información precontractual, CDP, Talento Humano, Estudios Previos, Invitación a contratar, Constancia de Idoneidad, Lista de Chequeo y Selección del Contratista, de 10 requerimientos de Persona Natural).
Se actualiza en la intranet- Seguimiento precontractual y Contractual SDS – subidas las actas de Inicio de 11 contratos, diez (10) de persona natural y uno (1) de persona Jurídica.
Realizar el anteproyecto 2016 del proyecto de inversión 872, incluye 1.Plan Anual de Adquisiciones 872, 2.Plan Operativo Anual de Inversiones (FFDS), 3.Formato de Costos Unitarios (FFDS), 4.Presentación Directiva 009 de 2015 Informes de cierre de Plan (FFDS) y 5. Matriz de Actividades del Ministerio de Salud y Protección Social (FFDS).
Realizar el reporte correspondiente a la información de pasivos exigibles del proyecto 872.
Se realiza el PAC Agosto 2015 y de las Reservas 2014 del proyecto, Registro y Actualización de la información financiera de los contratos realizados en el 2015 del mes de Agosto del proyecto 872 en el aplicativo SIPRESPY. Se realiza el trámite administrativo para una suspensión de contrato de persona natural, en el mes de julio se encuentra contratado el 93 % del Talento humano, y un (1) contrato de persona jurídica y se realiza seguimiento al trámite de liquidación de los convenios 1426-2013 suscrito con la Fundación Universitaria Ciencias de la Salud, 1803-2013 suscrito con la Universidad de San Buenaventura, 1878-2013 suscrito con la Pontificia Universidad Javeriana. 
Se actualiza el Plan de adquisiciones 872 "Conocimiento para la salud" con las fechas y valores estipulados en las contrataciones de persona natural y jurídica 2015.
Se elabora y envía el Seguimiento de enero a julio  del proyecto de inversión 872 “Conocimiento para la Salud” en el aplicativo disponible para llevar a cabo el proceso, en los componentes de metas, actividades, presupuesto, avances, logros, resultados, dificultades, población beneficiada y fuentes de inversión.
</t>
  </si>
  <si>
    <r>
      <t xml:space="preserve">Para el FFDS y SDS se reportó el formulario 50. Con sus respectivos formatos. 
Los informes de Junio  de 2015 quedaron aceptados en el Ente de Control  </t>
    </r>
    <r>
      <rPr>
        <b/>
        <sz val="12"/>
        <color indexed="10"/>
        <rFont val="Tahoma"/>
        <family val="2"/>
      </rPr>
      <t>el 9 de Julio  de 2015.</t>
    </r>
    <r>
      <rPr>
        <sz val="11"/>
        <rFont val="Tahoma"/>
        <family val="2"/>
      </rPr>
      <t xml:space="preserve">
Se reportaron 12 formatos. (7 FFDS Y 5 SDS).</t>
    </r>
  </si>
  <si>
    <t xml:space="preserve">La cantidad de formatos se reporta dependiendo de si se realiza o no CONTRATOS NUEVOS en la Entidad. No es un número exacto. </t>
  </si>
  <si>
    <t xml:space="preserve">Se realizó la actualización al seguimiento de los recursos ejecutados por parte de los Fondos de Desarrollo Local, con corte al 30 de julio de 2015, donde del total de los recursos asignados a los Fondos de Desarrollo Local FDL de la 20 Localidades del Distrito por valor de  $709.441.614.228, se han ejecutado al 30 de julio de un total de $337.033.397.597 (47.51%) y se han realizado giros por valor de $56.431.935.341, que equivalen a tal sólo el 7.95%, del total. 
Las localidades que han presentado un mayor porcentaje de ejecución son en su orden: Suba (82.20%), Engativá (82.18%) Puente Aranda (74.0%), Bosa con el (71,7%) y Antonio Nariño con el (71.1%); de otra parte, las localidades con los menores porcentajes de ejecución son: Kennedy (17.2%), La Candelaria (23%), Rafael Uribe Uribe (25.4%) y Usme con el (26.5%) 
De los recursos asignados por parte de los Fondos de Desarrollo Local FDL, estos han destinado recursos de inversión para la ejecución a actividades en las líneas de inversión en salud contempladas en el Marco de la Directiva 005 de 2012, donde para la vigencia 2015 se han destinado un total de $9.516.562.406, de los cuales, con corte al 30 de julio de 2015 y que representan el (1.34%) de total de los recursos asignados. Los 20 Fondos de Desarrollo Local han realizado compromisos por valor de $5.847.923.639, para un nivel de ejecución de tan solo el 61.4%. y se han realizado únicamente giros por valor de $131.642.168, que equivale al 1.4% de los compromisos al 30 de julio de 2015. 
Con corte al 30 de julio de 2015, dieciséis (16) localidades han realizado ejecuciones en proyectos de inversión para realizar acciones en líneas de inversión en salud estas son: 
1. La Localidad de Usaquén con el proyecto No. 0827 "Promoción de la salud desde la autonomía, la dignificación y la convivencia" ha realizado compromisos por valor de $212.030.000, que corresponde al 100% y se han realizado giros por valor de $12.800.000, que representan el 6.0% del total de los recursos asignados.
2. La Localidad de Chapinero con el proyecto No. 0876 "Prevención integral en salud a la población vulnerable" ha realizado compromisos por valor de $69.783.161, que corresponde al 97.7% y no se han realizado giros.
3. La Localidad de Santafé con el proyecto No. 1149 "Santa Fe con salud para todas y todos" ha realizado compromisos por valor de $239.779.034, que corresponde al 95.9% y no se han realizado giros.
4. La Localidad de Tunjuelito con el proyecto No. 1064 "Promoción y prevención en salud, con enfoque diferencial y énfasis en población con factores de riesgo asociados en salud mental." ha realizado compromisos por valor de $289.631.458, que corresponde al 80.5% y no se han realizado giros.
5. La Localidad de Kennedy con el proyecto de inversión No. 1062 "Promoción de la salud y el bienestar físico y mental de la población", donde se han realizados compromisos por valor de $977.459.560, para un nivel de ejecución del 97.7%, no se han realizado giros.
6. La Localidad de Fontibón con el proyecto de inversión No. 1085 "Salud para vivir bien en Fontibón", donde se han realizados compromisos por valor de $358.200.000, para un nivel de ejecución del 94.2% y se han realizado giros por valor de $10.809.733, que representa el 2.8%, de los recursos asignados.
7. La Localidad de Engativá con el proyecto de inversión No. 1234 "Promoción, prevención y atención en salud", donde se han realizados compromisos por valor de $180.000.000, para un nivel de ejecución del 90%, no se han realizado giros.
8. La Localidad de Barrios Unidos con el proyecto de inversión No. 1016 "Promoción, prevención y atención en salud para los habitantes de la localidad de Barrios Unidos", donde se han realizados compromisos por valor de $200.000.000, para un nivel de ejecución del 100%, no se han realizado giros.
9. La Localidad de Teusaquillo con el proyecto de inversión No. 1018 Teusaquillo, territorio de vida, con salud", donde se han realizados compromisos por valor de $140.000.000, para un nivel de ejecución del 70%, no se han realizado giros.
10. La Localidad de Mártires con el proyecto de inversión No. 0967 "Proyecto: promoción y prevención de la salud", donde se han realizados compromisos por valor de $276.000.000, para un nivel de ejecución del 92%, no se han realizado giros.
11. La Localidad de Antonio Nariño con el proyecto de inversión No. 0980 "Promoción y prevención de enfermedades con enfoque de salud familiar y comunitaria para la población de la localidad.", donde se han realizados compromisos por valor de $74.712.000, para un nivel de ejecución del 17.3%, no se han realizado giros.
12. La Localidad de Puente Aranda con el proyecto de inversión No. 0959 "Fortalecer el sistema local de salud por medio de programas de promoción, prevención, campañas y divulgación en salud primaria.", donde se han realizados compromisos por valor de $349.339.000, para un nivel de ejecución del 97.6%, no se han realizado giros.
13. La Localidad de Candelaria con los proyectos de inversión No. 1263 "Promoción y prevención en salud candelaria", ha realizado compromisos por valor $124.000.000 que corresponden al 95.4% y no se han realizado giros y  el proyecto No. 1266 "Ayudas técnicas a discapacitados no incluidas en el POS y subsidio tipo C para adulto mayor", ha realizado compromisos por valor $391.346.759que corresponden al 49.15% y se han realizado giros por $108.032.435 y que corresponde al 13.6% del total de los compromisos.
14. La Localidad de Rafael Uribe Uribe con el proyecto de inversión No. 1133 "Fortalecimiento integral de los servicios de salud", donde se han realizados compromisos por valor de $941.000.000, para un nivel de ejecución del 85.5%, no se han realizado giros.
15. La Localidad de Ciudad Bolívar con el proyecto de inversión No. No. 0820 "Promoción y prevención en salud a la población vulnerable", donde se han realizados compromisos por valor de $999.999.921, para un nivel de ejecución del 100%, no se han realizado giros.
16. La Localidad de Sumapaz Aranda con el proyecto de inversión No. 0819 "Acciones de promoción y prevención en salud", donde se han realizados compromisos por valor de $24.642.746, para un nivel de ejecución del 9.9%, no se han realizado giros.
</t>
  </si>
  <si>
    <t>Seguimiento Trimestral</t>
  </si>
  <si>
    <t>Elaboración de documento de análisis de interrupción voluntaria del embarazo con base a RIPS, periodo 2014 a junio 2015. Documentos final de análisis de información de neumonía periodo 2010-2014 pendiente revisión.</t>
  </si>
  <si>
    <t xml:space="preserve">Ajuste a aplicativos de dimensiones del desarrollo en metodología PASE.
Consultas para completar la información de la dimensión social de aplicativo PASE.
Reunión de dimensión ambiental para ajuste de aplicativo dimensión ambiental
Gestión para obtener información del aplicativo de salud con la Subsecretaria de salud pública.
Gestión para lograr la participación de la Subsecretaria de Participación Social en el proceso de desarrollo metodológico PASE.
Gestión para obtención de información con el IDECA.
Reuniones internas de equipo base para Plan Decenal  para desarrollo de metodología.
Presentación del Plan Decenal en la Universidad el Rosario, facultad de medicina
</t>
  </si>
  <si>
    <t xml:space="preserve">Se consolida, revisa, analiza y se envía a la Alta consejería para las victimas el informe RUSICST, FUT e informe narrativo II Trimestre de 2015, de acuerdo a los tiempos establecidos.  
Participación de las reuniones semanales del grupo inter direcciones de victimas.
Revisión y análisis de los indicadores de gestión del sector salud con la Alta Consejería.
Presentación de las sugerencias de cambio  de los indicadores propuestos por la Alta Consejería.
Inducción a Andres Guerrero nuevo enlace institucional del proceso adelantado con el grupo de Victimas del conflicto armado desde la Dirección de Planeación Sectorial.
Revisión y cargue de la información enviada por las direcciones incluidas en el plan de acción de la Política LGBTI al aplicativo SIPA.
</t>
  </si>
  <si>
    <t xml:space="preserve">En el marco del Proceso de Rendición pública de cuentas Infancia y Adolescencia, se realiza y entrega de manera conjunta con la Subsecretaría de Salud Pública el Documento “Relatoría Mesas de Trabajo- Proceso de Rendición de cuentas, niños, niñas y adolescentes [NNA]- Situación de salud y calidad de vida de los NNA 2012-2014". Esta información es entregada a la SDIS.
Se inicia el proceso de construcción de la Matriz de Gasto Público 2012-2014, correspondiente a las metas de los proyectos de inversión, para la implementación de la Política de Juventud. 
</t>
  </si>
  <si>
    <t xml:space="preserve">
En el mes de Julio se realizaron 3 modificaciones entre conceptos de gasto, así: 2 modificaciones del proyecto 880 y 1 modificación del  Proyectó 883
</t>
  </si>
  <si>
    <t>Seguimiento a la gestión contractual del mes de Julio de 2015, Reporte en el aplicativo PREDIS de las ejecuciones presupuestales del mes de julio de 2015 y seguimiento financiero del mes de julio al Plan Anual de Adquisiciones 2015, revisión a  solicitudes de modificación al plan anual de adquisiciones de la Entidad para el mes, consolidación del numero de modificaciones solicitadas al mismo y de lo corrido del 2015.</t>
  </si>
  <si>
    <t xml:space="preserve">RIPS
Red Adscrita se validan y se aprueban RIPS a  19 ESE para un total de 313,726 registros con cierre a Junio de 2015, se aprobaron cuentas adicionales de las ESE el Tunal y Meissen con un total de 2,778 registros, se rechazan los RIPS de las ESE Vista Hermosa, Engativá y Centro Oriente. 
Red Contratada se valida y se aprueba RIPS del Instituto Nacional de Cancerología del mes de Junio de 2015 con un total de 4,500 registros.
Red de escolaridad Se validaron 19 Archivos que corresponden a 2,178 registros, pertenecientes a 10 ESE, los cuales se aprobaron 19 archivos con 1,958 registros de 10 ESE y se rechaza 1 archivo con 220 registros de 1 ESE
Red de urgencias Se validaron 96 Archivos que corresponden a 19,349 registros, pertenecientes a 38 prestadores, los cuales se aprobaron 29 archivos con 10,247 registros de 15 prestadores y se rechazaron 67 archivos con 9,102 registros de 30 prestadores.
Red subsidiada 
- EPSS Capital Salud, se validaron los RIPS de Mayo de 2015 con un total de 2.325.962 registros, los cuales fueron rechazados.
- Red Adscrita se validaron RIPS de 6 ESE por 1.229.630 registros, de diferentes meses y EPSS se aceptaron de Meissen, San Blass, Pablo VI Bosa, Suba y Tunjuelito y se rechazaron 235,125 de 2 hospitales por inconsistencias Engativá y Simón Bolívar.
Red IVE: Se validaron y se aceptaron RIPS de los años 2014 y 2015 de las ESE La Victoria, San Cristóbal, Pablo VI Bosa, Usme y Nazareth, adicionalmente de las IPS Orientame y Profamilia con un total de registros 12,676  aprobados, se rechazan RIPS de la ESE Usme. Se genero la Circular 008 del 14 de julio con nuevos lineamientos de codificación en IVE (Interrupción Voluntaria del Embarazo).  
RIPS Particulares: 
- 'Se realizó la descarga del correo infoservicios de 506 archivos comprendidos en el periodo del 01 al 14 de Julio de 2015, con su respectivo inventario. 
- Del correo de corrección rips se descargaron 238 archivos con su respectivo inventario hasta el día 17 de Julio. 
- Se realizó la validación del correo infoservicios hasta el 14 de Julio así, 671,945 registros con el siguiente resultado: 283.614 registros aprobados y 388.331 rechazados.
- De los RIPS aprobados se realizó el cargue de información en al validando del Visual Fox Pro de 271.557 registros. 
- Se enviaron 506 respuestas a prestadores independientes de resultados de validación de sus archivos. 
- En total se realizaron 105 asistencias técnicas a prestadores independientes con diferentes inquietudes. 
- Se realizaron 464 descargas del validador Queries de Prestadores Independientes.
- Se realizaron 35 Certificados de asistencia a capacitación RIPS a funcionarios de IPS.
Validador Queries:
'Se actualiza documento de validaciones IVE (Interrupción Voluntaria del Embarazo)  a la versión 7
Avances en el desarrollo del validador de RIPS mejorando su funcionalidad y  calidad de los datos RIPS ,
Se elimina del validador la ruta de conexión a la base de datos de RIPS del archivo app.config, Se almacena la nueva ruta en el código del validador para mayor seguridad.
Se modifica validación de instancia de SQL para que seleccione la versión más reciente instalada en el equipo local.
Se modifican las siguientes validaciones de IVE (Interrupción Voluntaria del Embarazo) para adoptar los cambios de la circular 008 de 2015:
200 AC - Procedimiento IVE.
201 AC - Finalidad IVE.
202 AC - Causa Externa IVE.
203 AC - Finalidad-Consulta IVE.
204 AC - Finalidad Causa externa IVE.
205 AC - Finalidad Dx Principal IVE.
206 AC - Finalidad Dx relacionado 1 IVE.
207 AC - Finalidad Dx relacionado 2 IVE.
208 AP - Procedimiento IVE.
209 AP - Finalidad IVE.
210 AP - Dx Principal IVE.
211 AP - Dx relacionado IVE.
220 AP - Ámbito IVE.
215 AP - Consulta resolutiva IVE.
218 AH - Vía de ingreso IVE.
219 AH - Causa externa IVE.
220 AH - Diagnóstico ingreso IVE.
221 AH - Diagnóstico egreso IVE.
Capacitaciones:
-  Inducción a Servicio Social Obligatorio el 23 de Julio con un total de 119 asistentes
- Prestadores Independientes el 24 de Julio con un total de 129 asistentes.
Reuniones:
- Reunión del Grupo de Información el 9 de julio
- Reunión con la IPS Orientame 27 de julio para asesoría en Codificación RIPS de IVE (Interrupción Voluntaria del Embarazo).
Correspondencia:
SALIDA:
Dependencias Internas:
- Secretario de Despacho
Asunto: Transferencia de RIPS, al Ministerio de Salud y Protección Social, Plataforma Pisis con firma digital.
- Directora de Aseguramiento y Garantía al derecho a la Salud
- Asunto: Entrega de Archivos Planos RIPS Junio de 2015.
- Jefe Oficina Asesora de Comunicaciones en Salud.
Asunto: Respuesta al oficio de Seguimiento Boletín Estadístico 2010-2012
- Director de TIC.
Asunto: Solicitud Equipo de Cómputo.
Dependencias Externas:
- Procuraduría delegada para la defensa de los derechos de la infancia, la adolescencia y la familia.
Asunto: Respuesta casos reporte IVE
- Asesor Personería para la Asistencia a la Salud.
Asunto: Respuesta sobre casos de Salud mental.
ENTRADA:
- Capital Salud EPS-S
Asunto: Entrega RIPS de mayo 2015.
</t>
  </si>
  <si>
    <t xml:space="preserve">- Aún no se ha nombrado funcionario de planta como Coordinador del Grupo Gestión de Información.
- Está pendiente la contratación de un médico, para que asesore al Grupo en Codificación y asesoría para capacitaciones.
</t>
  </si>
  <si>
    <t xml:space="preserve">- Informe de atenciones acumuladas segundo trimestre de 2015 población desplazada.
- Informe total de atenciones Segplan e infancia a 30 de junio de 2015.
- Atenciones diagnósticas de trastornos de la personalidad periodo 2004 - 2014.
- Número de procedimientos realizados de acuerdo a la sentencia C355 IVE (Interrupción Voluntaria del Embarazo) por localidad y edad año 2014.
- Número de consultas realizadas a la población con discapacidad 2do. trimestre del año 2015.
- Frecuencia por diagnósticos por Trastornos Mentales y del Comportamiento en Bogotá años 2013 - 2014.
- Frecuencia de atenciones de la población habitante de calle por mes desde enero a junio de 2015.
- Frecuencia de atenciones de la población bogotana por ETS Enfermedades de Transmisión Sexual periodo 2013 - 2014.
- Frecuencia de atenciones de la población bogotana por tansexualismo periodo 2004 - 2014.
- Frecuencia de atenciones de la población bogotana por diagnósticos de neonatos materno período 2011 - 2014.
- Frecuencia de atenciones de la población bogotana por consultas, urgencias, hospitalización y procedimientos periodo 2014.
- Frecuencia de atenciones de la población bogotana por tipo de atención año 2014.
- 10 primeras causas diagnósticas total Bogotá periodo 2012 -2014.
- 10 primeras causas diagnósticas total Bogotá a menores de 1 año periodo 2012 - 2014
- Eventos IVE por año, localidad, causal y grupo de edad 2014 - 2015 preliminar (corte 2015/06/30)
</t>
  </si>
  <si>
    <t xml:space="preserve">Revisión de la información del Boletín de estadísticas del año 2014 de los siguientes temas (Decreto 2193, vigilancia y control de la oferta, SISVAN, Laboratorio de salud pública,  Infecciones intrahospitalarias, Citología cérvico vaginal, Aseguramiento)
Elaboración de carpetas en la página web, y publicación de información preliminar correspondiente al año 2014 de los siguientes  temas (Decreto 2193, vigilancia y control de la oferta, SISVAN, Laboratorio de salud pública,  Infecciones intrahospitalarias, Citología cérvico vaginal, Aseguramiento).
  Seguimiento a publicación de los Boletines de estadísticas del periodo 2010-2012  ante la oficina de comunicaciones. Oficio radicado 215IE196246 del  9 de julio de 2015.   
</t>
  </si>
  <si>
    <t>La Secretaría Distrital de salud  cuenta con un revisor de estilo y un diagramados gráfico para todo el proceso de publicaciones institucionales, motivo por el cual la publicación de los boletines 2011 a 2013 se encuentra retrasada.</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</si>
  <si>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</si>
  <si>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</si>
  <si>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</si>
  <si>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EJE ESTRATEGICO DEL PLAN DE DESARROLLO BOGOTA HUMANA 2012-2016:  UNA CIUDAD QUE REDUCE LA SEGREGACIÓN Y LA DISCRIMINACIÓN: EL SER HUMANO EN EL CENTRO DE LAS PREOCUPACIONES DEL DESARROLLO</t>
  </si>
  <si>
    <t>EJE ESTRATEGICO DEL PLAN TERRITORIAL DE SALUD PARA BOGOTÁ 2012-2016: COMPONENTE DE GOBERNANZA Y RECTORIA</t>
  </si>
  <si>
    <t>PROGRAMA DEL PLAN DE DESARROLLO BOGOTA HUMANA 2012-2016:  TERRITORIOS SALUDABLES Y RED DE SALUD PARA LA VIDA DESDE LA DIVERSIDAD</t>
  </si>
  <si>
    <t>PROYECTO DE INVERSIÓN DEL PLAN DE DESARROLLO BOGOTA HUMANA 2012-2016:  CONOCIMIENTO PARA LA SALUD</t>
  </si>
  <si>
    <t>NUMERO
META
SEGPLAN</t>
  </si>
  <si>
    <t>PROYECTO</t>
  </si>
  <si>
    <t>CLASIFICACIÓN DE LA META</t>
  </si>
  <si>
    <t>VALOR MAGNITUD ANUAL</t>
  </si>
  <si>
    <t>VALOR APROPIACION</t>
  </si>
  <si>
    <t>VALOR PRESUPUESTO</t>
  </si>
  <si>
    <t>RESERVAS PRESUPUESTALES</t>
  </si>
  <si>
    <t>AVANCES</t>
  </si>
  <si>
    <t>LOGROS</t>
  </si>
  <si>
    <t>RESULTADOS</t>
  </si>
  <si>
    <t>DIFICULTADES Y SOLUCIONES</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</si>
  <si>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</si>
  <si>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</si>
  <si>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</si>
  <si>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</si>
  <si>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</si>
  <si>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</si>
  <si>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</si>
  <si>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</si>
  <si>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</si>
  <si>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</si>
  <si>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</si>
  <si>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</si>
  <si>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</si>
  <si>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</si>
  <si>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Línea de Base</t>
  </si>
  <si>
    <t>Ejecutado 2015</t>
  </si>
  <si>
    <t>INICIAL</t>
  </si>
  <si>
    <t>DEFINITIVA</t>
  </si>
  <si>
    <t>Ejecutado o Comprometido</t>
  </si>
  <si>
    <t>GIROS</t>
  </si>
  <si>
    <t>Programado</t>
  </si>
  <si>
    <t>Hombres</t>
  </si>
  <si>
    <t>Mujeres</t>
  </si>
  <si>
    <t>e04o01m01</t>
  </si>
  <si>
    <t>e04o01m01-617</t>
  </si>
  <si>
    <t xml:space="preserve">Promoción  Social </t>
  </si>
  <si>
    <t>04</t>
  </si>
  <si>
    <t>01</t>
  </si>
  <si>
    <t xml:space="preserve">Formular e implementar la Política Pública de Innovación, Ciencia y Tecnología en Salud para el Distrito Capital, a 2016. </t>
  </si>
  <si>
    <t>% de avance de la Política formulada e implementada</t>
  </si>
  <si>
    <t xml:space="preserve">DISEÑO Y FORMULACIÓN DE LA POLÍTICA:  
*Política y Plan de CTI y Agenda de investigaciones: 
Se ajusta el documento de “formación de política en ciencia, tecnología e innovación para la salud”, de acuerdo con las observaciones y sugerencias realizadas en la primera revisión. Pendiente nueva revisión. Se ajusta documento para incluirlo en el boletín semestral de investigaciones, sobre el proceso de formación de política de CTI para la salud. Participación en el espacio de investigaciones habla, donde se realiza el cierre del primer ciclo, dedicado a investigaciones relacionadas con Sistemas, servicios y políticas de salud. Se realizan nuevos ajustes al documento de “lineamientos de la Política de CTI para la salud”.
*Acompañamiento técnico a las ESE: 
Se realiza la visita al hospital de Pablo VI Bosa para conocer los avances en investigaciones a partir del proceso desarrollado.
Se lleva a cabo la reunión mensual con las ESE cuyo objetivo fue “compartir con las ESE lineamientos que permitan avanzar en la consolidación de la información que formará parte del repositorio digital, como una estrategia de movilización del conocimiento.
MOVILIZACIÓN DEL CONOCIMIENTO:
*Observatorio para la equidad en calidad de vida y salud de Bogotá - OECVS: 
Se dio inicio a los Debates de Equidad, Salud y Paz, con el Panel Violencia Sexual y Violencia Homicida en Colombia, como el primero de los debates programados hasta el mes de noviembre de 2015.
*Revista de investigaciones en seguridad social y Salud: 
A julio 31 de 2015, el volumen 1 del 2012 se encuentra en diagramación para ser publicado. Y se cuenta con 45 artículos, que se encuentra en los siguientes procesos: 
1. Se está a la espera de la entrega por parte del Revisor de estilo los siguientes artículos: Articulo No 5: “Tomate el Control, prevención del consumo de alcohol en ámbitos universitario, una alternativa en Salud Pública, Articulo No. 6: Estado del arte de la investigación sobre equidad en salud en Bogotá, 2006-2010, Articulo No. 8: “Política Distrital de Salud para las poblaciones étnicas residentes en Bogotá”, Articulo No. 11: Condiciones de vida de la adultez, un reto para una vejez feliz”, Articulo No. 13: Programa innovador de rehabilitación integral para habitante de calle en condición de discapacidad mental crónica, Articulo No. 32: “Brote de varicela en un establecimiento carcelario de Bogotá, D.C. 2012”, Articulo No. 36:”Los factores que hacen diferente la política de innovación en los países: Caso de estudio Alemania, España y Polonia”, Articulo No. 38: “Factores asociados al bajo peso al nacer en hijos de adolescentes atendidas en los hospitales de la Red Publica 2010-2011”, Articulo No. 42: Entrevista a Julie Aultman. El lado oscuro de la investigación en seres humanos, Articulo No. 43: Metodología de costo- efectividad en la práctica clínica, Articulo No. 44: Reflexiones sobre la multiculturalidad, grupo étnicos, practicas terapéuticas y movimientos de reindigenación en Colombia.
2. En Segunda Revisión del autor: Articulo No. 26: Accidentalidad vial por motocicletas en Bogotá, D.C. Un problema de Salud Pública y Articulo No. 34: “Obsolescencia del equipamiento biomédico con hospitales públicos de la Red Distrital de Salud, año 2010”.
3. En Tercera Revisión de los Autores:  Articulo No. 23: “Política Publica Distrital de Salud para la población desplazada por la violencia, “por la equidad, el reconocimiento y el goce efectivo del derecho a la salud de la población desplazada asentada en Bogotá 2008-2016”.
En general se está recopilando los artículos de la Revista volumen 14 (2 y Volumen 15 (1) para diagramar y publicar ya se le solicitaron al Doctor Patiño.
*Cooperación Nacional e Internacional: 
Se hizo seguimiento a la agenda de cooperación internacional, y se seleccionó la información relevante en materia de seminarios, talleres y convocatorias entre otras, relacionados con temas de salud para participación de la SDS y las ESE desde los 7 ejes de la agenda. 
Apoyo en la realización de los estudios previos y en la minuta para la elaboración del convenio específico de cooperación con la OPS/OMS.
En el mes de Julio se hizo seguimiento a los siguientes procesos: 1) Se hizo seguimiento al convenio de cooperación firmado entre la Alcaldía Mayor de Bogotá y la Generalitat de Cataluña en temas de salud, para el mes de junio se reactivaron contactos para dar seguimiento al plan de trabajo y cooperar en temas de VIH, Infraestructura y calidad.
Continuación en la organización de tres encuentros internacionales a desarrollar durante el 2015 denominados: 1. Sistemas de Salud Mundiales y Lecciones para Colombia. 2. Atención Primaria en Salud. Y 3. Seminario Internacional: Experiencias Regionales para la Garantía de la Salud Sexual y la Salud Reproductiva de las Mujeres.
Continuación en la asistencia y participación en reuniones para la preparación del Foro Internacional de Hospitales Verdes. Para ello se han generado reuniones con el grupo de la SDS y teleconferencia con la Oficina principal de la Red Latinoamericana de Salud sin Daño en Argentina para avanzar en organización y planificación del evento en el mes de septiembre. 
*Estrategia de Comunicaciones: 
Se continuó con el fortalecimiento de la estrategia de visibilización de los proceso de Investigaciones por medio de 20 diapositivas promocionales.  Se realizó el sexto espacio de Investigaciones Habla del 2015.  Se realizó el boletín llamado BK2 de julio. Publicación de los últimos libros de la biblioteca. Se terminó la elaboración de la tercera edición del boletín de investigaciones. Se está haciendo la segunda revisión editada de los lineamientos 2015 de Investigaciones y Cooperación.
*Portal del Conocimiento: 
La biblioteca durante los 22 días del mes de julio desarrollo y gestiono las actividades del Portal del Conocimiento en Salud, a través de los siguientes ítems:
1). Recurso Humano: Se cuenta con el apoyo de un profesional para el fortalecimiento del portal de conocimiento en la Biblioteca de la SDS, en el marco del Plan de Ciencia Tecnología e Innovación CT+I y un profesional especializado como Bibliotecólogo (a). 2). Infraestructura física: La biblioteca cuenta con 32 puestos de lectura, 7 terminales de cómputo con acceso a internet, 1 Archivador rodante de tres cuerpos estáticos y 11 movibles, 20 estantes fijos y 2 puesto de trabajo con equipos de cómputo para personal de apoyo administrativo. 3). Desarrollo de Colecciones: Actualmente el acervo está conformado por un total de 6708 títulos especializados en Salud, en diferentes formatos y soportes documentales como CD, Videos, guías, cartillas, enciclopedias etc. 4). Préstamo y consulta de Usuarios: La atención de manera presencial fue dada en el mes de Julio a 774 usuarios entre ellos (estudiantes de secundaria, universitarios, investigadores, comunidad de la SDS - ESE y público en general), apoyándolos en las diferentes necesidades de información en el área de la salud, para ello se tienen en cuenta los siguientes ítems en este mes: Servicio Préstamo Interno17 y Externo153 para un total de 170, frente al servicio de consultas, Usuarios por permanencia 290, Usuarios por referencia 26, Uso de computadores 288 para un total de 604. 5). Gestión de los Sistemas del Portal del Conocimiento en Salud: Se fortalece los siguientes sistemas de información Catálogo en Winisis para la catalogación e inventario de material bibliográfico donado por las diferentes dependencias de la SDS y las diferentes instituciones Distritales y/o Nacionales y Repositorio Institucional: Se elaboró el plan de trabajo con el objetivo de llevar a cabo las actividades necesarias para la recuperación de la producción intelectual producida por la SDS y ESE, así mismo implementar el Repositorio Institucional de Salud, con el fin de centralizar, capturar, difundir y aumentar la visibilidad de sus contenidos, garantizando la preservación y conservación de dicha producción. 6). Punto Vive Digital SDS: El Punto Vive Digital ubicado en el edificio de Homocentro segundo piso, tiene como fin expandir en la comunidad de la SDS y los ciudadanos la apropiación de tecnologías y uso de internet, con un portafolio de servicios (acceso internet, capacitación, gobierno en línea y entretenimiento) de acuerdo a las necesidades de la población local, este se encuentra dotado con: una sala de capacitación, un equipo de Video Beam, 15 equipo de cómputo portátiles, una consola de entretenimiento (X-box), Un TV plasma y un computador para los servicios de gobierno en línea.
GESTIÓN DEL CONOCIMIENTO:
*Fortalecimiento de capacidades: 
Se informa a los investigadores de las diferentes convocatorias para los grupos que existen en Colciencias relacionadas con el sector salud: Convocatorias 725, Apoyo para la financiación proyectos de investigación presentados por grupos de investigación, desarrollo tecnológico e innovación reconocidos por Colciencias en temáticas priorizadas en salud, para poder captar recursos a través de la presentación de los proyectos de investigación. Se realiza la divulgación a través del e-mail institucional y a través del Cronograma realizado por los Comités de Ética y de Investigación.
Se realiza capacitación para fortalecer las capacidades de investigación de la red de laboratorio de salud del Distrito.
*Grupos de investigación:  
Se continúa con este proceso para participar en las convocatorias de Colciencias para los grupos de investigación. Por sugerencia del grupo de investigación, se realiza un cronograma en conjunto para evaluar los proyectos tantos para el comité de ética y de investigación.  Los miembros de ambos comités realizan el cronograma para Convocatoria 725 para presentación de proyectos de investigación. Se realiza un cronograma de capacitación para los miembros de los grupos de investigación de la SDS, se desarrolla dicha programación.
*Semilleros de investigación: 
Para revisión y tramite con la Oficina jurídica de la SDS, se avanza en la realización y ajuste del documento de acto administrativo para el funcionamiento del semillero, envió de este documento resolución de constitución del semillero al abogado de la Subsecretaria de planeación y gestión sectorial.
Se elabora documento informativo sobre el semillero de Investigaciones de la SDS, para incluirlo en el boletín semestral de investigaciones.
*Investigaciones para la salud: 
Se inicia la asesoría y gestión de los procesos de convocatoria para la presentación de proyectos de investigación acordes al plan de CTeI, para acceder a recursos de regalías. De acuerdo al proceso se avanza en la gestión de la convocatoria 001 de 2014 de regalías, desde la Secretaría de Planeación Distrital, en que se desarrollaron los siguientes procesos.   1.- El 19 de enero de 2015, se emite la Convocatoria 001 de 2014, para conformar portafolio de proyectos del D.C. en el marco del fondo de CTEI del sistema general de regalías. Vigencia presupuestal 2015-2016.  2.- Desde el grupo de investigaciones y cooperación se envían correos masivos (Academia, Instituciones, ESE, etc.) para el conocimiento de la convocatoria. 3. -Se compilan, 38 fichas diligenciadas de proyectos para conformación de portafolio y se radican a Planeación Distrital el 6 de febrero de 2015. 4.- En el mes de mayo son llamados a sustentación 17 proyectos de investigación para cumplimiento de la convocatoria 001 de 2014, para acceder a recursos de regalías. 5.- En el mes de junio no se ha recibido respuesta positiva de cuales proyectos pasaron a la convocatoria. 6.- En el mes de julio se recibió respuesta de 3 proyectos pasaron la convocatoria, los cuales fueron: “Sistema predictivo para la detección de niñas y adolescentes con alto riesgo de quedar en embarazo a temprana edad”, “Estudio genómico y epigenómico del alcoholismo en población residente en Bogotá”, “Uso de antibióticos para promoción de crecimiento, tratamiento y prevención de enfermedades en animales de producción para consumo humano: ¿Una fuente de resistencia a Antibióticos?”.
*Innovación:
En el marco de la estrategia portafolio de ideas innovadoras, se ajustó el documento que sistematiza las ideas innovativas que surgen desde las Empresas Sociales del Estado de la red adscrita. Seguimiento a los requerimientos enunciados por las entidades, en documentación y contenidos del proyecto titulado “Estudio de las iniciativas y capacidades en Innovación Social para la salud en una E.S.E. adscrita a la red pública del Distrito”, a desarrollar en el Hospital Pablo VI Bosa, con el hospital y la Corporación Universitaria Iberoamericana. Gestión con el nodo de innovación social del Distrito Capital específicamente con la Secretaría de Desarrollo Económico, con el fin de conocer su accionar y la posibilidad de participar en el mismo. 
*Comité de Ética para la Investigación en Salud- CEIS: 
Se realizó el Panel sobre la Reglamentación de la Eutanasia en Colombia en el marco de las actividades de formación de la Red Distrital de Comités de Ética para la Investigación en Salud en Bogotá.
 *Comité Técnico de Investigaciones: 
Se realiza revisión de la nueva resolución para el Comité de Investigaciones de la Secretaria de Salud, debido a que surtió la reestructuración. La nueva resolución reemplazaría la resolución 0454 de 2014. Actualmente, se encuentra en revisión por el abogado de la Dirección de Planeación Sectorial. 
</t>
  </si>
  <si>
    <t xml:space="preserve">DISEÑO Y FORMULACIÓN DE LA POLÍTICA:
*Política y Plan de CTI y Agenda de investigaciones: Documento consolidado, que da cuenta del contenido de los principales ejes temáticos de la agenda de investigaciones para la salud, se logra colocar las necesidades de investigación para la salud como parte de los temas prioritarios a nivel distrital para ser objetos de financiación a través de las becas para doctorado “Rodolfo Llinás”. Se logra el análisis de información que sustente y oriente la importancia de la definición y actualización de la agenda temática de investigaciones para la salud,  a nivel del distrito que permita tomar decisiones en investigaciones que aporte  a mejorar las condiciones de salud de la población. Contar con documentos guía de los diferentes procesos que se desarrollan en el marco de  ciencia, tecnología e innovación para la salud, con el fin de que se conviertan en un norte que oriente el desarrollo de procesos investigativos.
*Acompañamiento técnico a las ESE: Se cuenta con una propuesta de trabajo para el 2015, que continúa contribuyendo a la consolidación del proceso de investigaciones y cooperación en las ESE y con los planes de trabajo en el proceso de investigaciones de los hospitales asistentes de Victoria, Simón Bolívar y Meissen. Se logra el fortalecimiento de capacidades del talento humano de las ESE, que tienen a cargo el proceso de investigaciones, con el fin de incidir en el fortalecimiento de la institucionalidad. Proporcionar herramientas técnicas y de gestión, al talento humano de las ESE, que tienen a cargo el proceso de investigaciones, con el fin de contribuir al fortalecimiento de la institucionalidad en investigaciones. Las ESE cuenten con herramientas técnicas y de gestión para avanzar en la consolidación del proceso de investigaciones en las e.se.
MOVILIZACIÓN DEL CONOCIMIENTO:
*Observatorio para la equidad en calidad de vida y salud de Bogotá – OECVS:
Elaboración de los siguientes documentos sobre el Observatorio: Lineamientos y síntesis del proceso 2006-2014, (33 páginas). Documento Informe del Observatorio, (10 páginas). Borrador propuesta de foro “Hospitales Constructores de Paz”. Presentación del diseño conceptual y metodológico del Observatorio para la Salud y la Paz (28 diapositivas). Borrador de la propuesta del Boletín sobre el Derecho a la Salud y Víctimas en Bogotá. Documento Estudios Previos Convenio Especial de Cooperación de Ciencia, Tecnología e Innovación, cuyo objeto es: “Aunar esfuerzos para estimar la carga de enfermedad para Bogotá D.C., en el periodo 2010 – 2014, usando como indicadores los Años de Vida Ajustados por Discapacidad (AVISA), por muerte prematura (AVPM) y los años vividos con discapacidad (AVD) e identificar las prioridades de salud en Bogotá, Distrito Capital”. Documento Resolución por la cual se conforman el Comité Coordinador y la Unidad Técnica de Apoyo del Observatorio para la equidad en calidad de vida y salud de Bogotá, (5 páginas). Documento Proyecto de Decreto Reglamentario del Acuerdo 364 de 2009, que crea el Grupo Técnico Intersectorial del Observatorio y la Mesa Distrital para la Equidad en Calidad de Vida, Ambiente y Salud de Bogotá, (9 páginas).Documento Exposición de motivos técnico jurídicos y de conveniencia del Proyecto de Decreto del Observatorio, (13 páginas). Presentación del diseño conceptual y metodológico del Observatorio para la Salud y la Paz (28 diapositivas). Formato Plan de Trabajo Convenio de Cooperación entre la SDS y la Organización Panamericana de la Salud (OPS), 2015-2016. Se logró la aprobación por parte de la Oficina Asesora Jurídica del Proyecto de Decreto del Observatorio y la Exposición  de motivos técnico jurídicos y de conveniencia del mismo. Se logró avanzar en la elaboración del Documento determinantes Sociales de la Salud, Bogotá 2015. Se logró consolidar la programación de paneles y conversatorios del periodo julio-noviembre. Se logró desarrollar el Panel Violencia Sexual y Violencia Homicida en Colombia con la participación de siete (7) conferencistas y la asistencia de 126 personas.
*Revista de investigaciones en seguridad social y Salud: 
El volumen 1 del 2012 se encuentra en diagramación para ser publicado, se cuenta con 45 artículos para la Revista de Investigaciones en Seguridad Social y Salud. El proceso continúa en varias etapas, segunda y tercera revisión y Revisión de estilo y diagramación, ya se hizo un plan de acción para la publicación de los artículos, así mismo se Terminaron las editoriales y se está trabajando en los ajustes sugeridos por la editora de la Revista. En general se está recopilando los artículos de la Revista volumen 14 (2 y Volumen 15 (1) para diagramar y publicar.
*Cooperación Nacional e Internacional: 
En el mes de enero y febrero se culminó con éxito: a) el acompañamiento a la visita de la empresa española Dentix, Invest in Bogotá y Procolombia, la cual estaba interesada en conocer el proceso de habilitación de servicios dados por el Distrito. b) la teleconferencia para el proceso de referenciación comparativa con el Centro Regulador de Urgencias y Emergencias de Barcelona. c) el proceso de presentación a la convocatoria del Fondo Noruego-Sueco de Cooperación el proyecto de la Dirección de Participación y Atención al Ciudadano de la SDS en salud y deporte en jóvenes y adolescentes ‘Escuelas de Futbol, Semillas de Goles para la Paz’ para presentar a financiación de gobierno sueco. d) la preparación de la agenda de trabajo, la ficha técnica y demás asuntos académicos y logísticos para la visita de la Agencia de Cooperación Alemana –GIZ- para conocer el Hemocentro Distrital. e) la preparación la agenda de trabajo, la ficha técnica y demás asuntos académicos y logísticos para la visita de la Embajada Belga para conocer el manejo de residuos hospitalarios desde la experiencia del distrito. f) la preparación la agenda de trabajo, la ficha técnica y demás asuntos académicos y logísticos para la visita de la Embajada Cubana para identificar líneas de cooperación y visitar el Hemocentro Distrital, el Laboratorio de Salud Pública y el CRUE y g) la teleconferencia para el intercambio de conocimientos con la municipalidad de Santiago de Chile sobre historia clínica electrónica. Se firmó el convenio marco de cooperación entre la SDS y la Organización Panamericana de la Salud.
En el mes de marzo se culminó con éxito: 1) la coordinación, la preparación de la agenda de trabajo, la ficha técnica y demás asuntos académicos y logísticos para la visita de referenciación del Ministerio de Salud de Chile, en alianza con la OPS/OMS a la SDS para intercambio de experiencias en el tema de PAI, 2) la visita de referenciación del Instituto del Trauma de Costa Rica, a la SDS para intercambio de experiencias en el tema de banco de tejidos y visita al Hospital Simón Bolivar- unidad de quemados, 3) el documento ’agenda de cooperación’ con la Embajada de Cuba en donde se estableció cronograma tentativo de actividades, proceso de articulación, áreas de cooperación y responsables entre otros para empezar a implementarlo con el gobierno cubano y 4) la coordinación y recibimiento en la ESE Simón Bolivar para la visita técnica para la referenciación con comisión del Ministerio de Salud de Costa Rica en el tema de banco de Tejidos y pabellón del quemados del Hospital.
En el mes de Abril se culminó con éxito: 1) la coordinación, la preparación de la agenda de trabajo, la ficha técnica y demás asuntos académicos y logísticos. 2) la coordinación, asistencia y participación en reunión con la Embajadora de Suecia para trabajar y revisar sobre el proyecto de cooperación que actualmente se desarrolla en conjunto con el gobierno Sueco sobre la nueva torre de la ESE Simón Bolívar y explorar nuevas posibilidades para continuar la cooperación con dicho país. 3) la coordinación, asistencia y participación en reunión con Open Society Foundations para aunar esfuerzos y desarrollar protocolos de investigación para el uso terapéutico de la marihuana. 4) el proceso de planificación, coordinación, asistencia y participación en teleconferencia con ICLEI para intercambio de conocimientos en temas de salud ambiental.  5) la planificación, coordinación, asistencia y participación en jornada de trabajo con equipo de la SDS y la Organización Panamericana de la Salud para visita a campo en la zona del Bronx para revisar el tema de drogodependencia, CAMAD, Habitante de Calle e integración social entre otras.  6)  el proceso con la ESE Simón Bolívar y la Embajada Sueca para el estudio de viabilidad de la nueva torre del Hospital.
En el mes de Mayo se culminó con éxito: 1) Se terminó con éxito la preparación, asistencia y participación en jornada de trabajo con los expertos internacionales invitados al Foro de Desarrollo Hospitalario para conocer buenas prácticas de la SDS y conocer a profundidad experiencias internacionales en tema hospitalario. 2) Se culminó con éxito la preparación y desarrollo (rueda de prensa, participación de expertos internacionales y nacionales, agenda académica y logística desarrollada en su totalidad) del Foro Internacional Desarrollo Hospitalario en Grandes Ciudades, el cual fue llevado a cabo el 13 y 14 de mayo. 3) Se llevó a cabo satisfactoriamente la preparación, asistencia, participación y traducción de la teleconferencia con el Hospital de la Charité en Berlin para la cooperación técnica en uso de nuevas tecnologías en las Unidades de Cuidados Intensivos. 
En el mes de Junio a Julio se culminó con éxito: 1) La preparación y desarrollo (rueda de prensa, participación de expertos internacionales y nacionales, agenda académica y logística desarrollada en su totalidad) del Foro Internacional ‘Semana Psicoactiva 2015. Desarrollada del 23 al 26 de junio. 2) La planificación, elaboración de agenda y coordinaciones respectivas con los equipos de la SDS, Ministerio de Salud y Hospital de Fontibón para la visita del Hospital Carlos III de Madrid con el objetivo de hacer una referenciación en tratamiento a pacientes y otros procedimientos en casos de ebola (visita a hospital para revisión de proceso e infraestructura, capacitación en postura y retiro de elementos de protección personal y manejo de cadáveres). Esta visita fue culminada con éxito. 3) La coordinación, preparación de agenda y desarrollo de la misma para visita de la delegación del Perú para conocer buenas prácticas institucionales de la SDS. 4) La coordinación dentro de la SDS y con la DDRI para la presentación del programa Territorios Saludables y el rol de las TIC en el IV Comité Sectorial de Nuevas Tecnologías y jornadas iberoamericanas sobre la aplicación de las nuevas tecnologías en la administración pública y la apropiación social de las TIC de la Unión de Ciudades Capitales Iberoamericanas –UCCI-.
*Estrategia de Comunicaciones:
Se cuenta con la proyección de estrategia de comunicaciones para la SDS 2015. Se cuenta con la segunda edición del documento de sistematización del espacio de Investigaciones Habla 2014 y a su vez se encuentra en la página web de la SDS. Se publicó cada mes el BK2 boletín Digital de investigaciones y cooperación de los meses de enero a julio.  Se logró un espacio en el Facebook oficial de la SDS y se está publicando eventos por este medio. Se cuenta con el documento de memorias del 1er Congreso de Investigaciones terminado y en diagramación. Se cuenta con  1000 afiches de divulgación con el logo de investigaciones Habla. Se realizó seis Investigaciones Habla 2015 denominados:  1) “Agenda temática priorizada en CTI para la salud y presentación de los resultados de la investigación del “Estado del arte de las investigaciones en salud, calidad de vida y enfermedad, realizadas en Bogotá, D.C., durante el periodo 2010 – 2014”, 2) “Sistemas, Servicios y Políticas de Salud y Resultados de la Investigación "La coordinación asistencial en redes de servicios de salud: un  estudio de caso en Bogotá y Soacha", 3) “Sistemas, Servicios y Políticas de Salud y Resultados de la Investigación   "Comprensión e Implementación de la promoción de la Salud en Instituciones de Educación Superior en Colombia", 4)  “Resultados  del trabajo  denominado por "Perfil epidemiológico de la infección genital por Virus del Papiloma Humano en pacientes con diagnóstico citológico de AS-CUS del Hospital  Engativa" " La coordinación asistencial en redes de servicios de salud: un  estudio de caso en Bogotá y Soacha", se realizó el Foro “Desarrollo Hospitalario en grandes ciudades”, 5) “Sistemas, Servicios y Políticas de Salud y  Resultados  “Estudio de diseño para la aplicación y desarrollo de la estrategia hospital saludable en Colombia, año 2013”y  Análisis de la Política de Salud Oral de Bogotá: Fase de formulación – 2011” y 6) “Factores Globales que afectan la salud  y  los Resultados  del “La salud de los trabajadores (a) debe ser una prioridad para un país y una ciudad que se proponen ser competitivas y productivas, justamente porque son ellos y ellas quienes generan la riqueza social, y por lo tanto el desarrollo económico”.
*Portal del Conocimiento:
Los siguientes resultados presentan el acumulado de enero a julio del presente año: Documento informe mensual consolidado satisfacción de servicios, programas y usuarios internos y externos a diario (estadísticas). En cuanto al préstamo del material bibliográfico se han atendido un total de 170 préstamos en julio y acumulado de 770 préstamos de libros. En el mes se atendieron 288 consultas de computadores dando un acumulado de 1929. La atención de manera presencial fue dada en el mes de julio a 774 para un total acumulado de 4895 usuarios.
Los siguientes datos presentan el desarrollo y actividades del procesamiento técnico y físico de los libros: Levantamiento (203) documentos en base Excel del proceso de donación, para definir que material se cataloga, se descarta y se dona a otras Bibliotecas de acuerdo a la naturaleza del material bibliográfico, (25) Documentos (libros, boletines, folletos, cartillas, revistas, etc.) se reciben en donación de información en salud en el mes de julio, (45) encabezamientos de materia para recuperar los contenidos de los libros, con análisis de contenidos, número de catalogación y encabezamientos de materia para ingresar a la base de datos WINISIS y visibilizarlos por Internet a través del catálogo local, Códigos de barras a (25) libros para control de inventario, Marcación de (46) libros con sellos y fecha de vencimientos en los libros catalogados en la biblioteca y Rótulos No. topográfico a (46) de libros para poner a disposición de los usuarios de internos y externos de la biblioteca.
Punto Vive Digital: Los siguientes resultados del Punto Vive Digital presentan en el mes de julio (244) un total de (649) usuarios atendidos.
GESTIÓN DEL CONOCIMIENTO:
*Fortalecimiento de capacidades: Mediante la realización de las dos jornadas de capacitación para los investigadores y líderes de los grupos de investigación de la SDS y las ESE, se observa mayor manejo de las herramientas de las plataformas de Colciencias e integración con eficiencias los productos generados por los investigadores. Fortalecimiento a 20 investigadores pertenecientes al grupo de investigación, en temas relacionado con la ciencia e investigación para la salud y la reingeniería de grupos. Conocimiento de los investigadores de las diferentes convocatorias que se encuentran en apertura para los grupos de investigación. Se logra actualizar el documento de trabajo sobre los ítems relacionados con gestión del conocimiento.
*Grupos de investigación: 
Se logró brindar capacitación individual a los líderes de 3 hospitales y se les ayudo en el proceso de creación de los grupos de investigación en su entidad. Se logró unir esfuerzo con el grupo de investigadores de subdirección de salud pública para la creación o sección de un grupo de investigación. Se realizaron dos jornadas de capacitación para los investigadores de la SDS y las ESE, se capacitaron 18 investigadores. Se obtiene una capacitación por parte de Colciencias para los investigadores de la SDS y las ESE en lo relacionado con estructuración de proyectos para presentación al fondo de regalías. Se gestionaron dos conferencias con ayuda de la Subdirección de salud pública para los investigadores de la SDS. Se continúa el trabajo para la obtención de mejor integración de los Grupos de investigación entre Empresa (Privado), SDS y el Sector educativo.  Se logró la clasificación y el reconocimiento del Grupo de investigación de la SDS, permitiendo acceder a las convocatorias. Se logra difundir las diferentes convocatorias para los ESES y la SDS para la participación en los proyectos de investigación ante Colciencias. Motivación por parte del personal de la SDS, que siguen vinculándose al grupo de investigación. Se logra difundir las diferentes convocatorias para los ESES y la SDS para la participación en los proyectos de investigación ante Colciencias, convocatorias, 711,709 etc. Se realizan asesorías técnicas a los miembros de los diferentes grupos de investigación de la SDS y las ESE. Capacitación a investigadores sobre el manejo de la plataforma en Colciencias relacionadas con el CVlac. Se logra difundir las diferentes convocatorias para los ESES y la SDS para la participación en los proyectos de investigación ante Colciencias, convocatorias, 725 etc. Se realizan asesorías técnicas a los miembros de los diferentes grupos de investigación de la SDS y las ESE (actividad permanente). Capacitación a investigadores sobre el manejo de la plataforma en Colciencias relacionadas con el CVlac.
*Semilleros de investigación:
Se cuenta con un plan de acción 2015, en el que se realizara 1) la Identificación del avance de los semilleros de la SDS. 2) Conocer experiencias de diferentes instituciones que cuenten con semilleros de investigación. 3) Promover actividades de capacitación a las semillas en temas de su interés. 4) Difundir los logros y avances del Semillero en distintos medios.
De acuerdo a la nueva estructura de la SDS, se cuenta con el ajuste al nuevo formato de resolución establecido por la SDS, para tramitar la resolución de constitución del semillero con la Dirección de jurídica. Se cuenta con el documento informativo sobre el semillero de Investigaciones de la SDS, para incluirlo en el boletín semestral de investigaciones.
*Investigaciones para la salud:
En el diligenciamiento de la “TABLA MAESTRA A SEGUIMIENTO A LAS INVESTIGACIONES”, de las Empresas Sociales del Estado (ESE) y la Secretaria Distrital de Salud (SDS), en un acumulado y actualizado al mes de julio de 2015 se logran identificar 92 investigaciones. En las ESE se identificaron 19 investigaciones y los hospitales que las reportan son 13 a saber: Simón Bolívar, El Tunal, Engativá, Vista Hermosa, Centro Oriente, Fontibón, La Victoria, Nazaret, Usaquén, Kennedy, Del Sur, Tunjuelito y Pablo VI –Bosa. Teniendo en cuenta que se identifica el estado de las investigaciones en la SECRETARIA DISTRITAL DE SALUD (SDS) ingresadas a la “Tabla maestra de seguimiento a investigaciones”, para el periodo 2012 a 2014, solicitado por la Subsecretaría de Planeación y Gestión sectorial, clasificadas en investigaciones en negociación, investigaciones en desarrollo e investigaciones terminadas o ejecutadas, el resultado acumulado para el mes de julio de 2015 es que el 50% (n=46) de las investigaciones se encuentran en negociación; el 20% (n=18) en desarrollo y terminadas o ejecutadas en el 30% (n=28). Actualmente se siguen recibiendo listado de investigaciones que las ESE envían de acuerdo a solicitud expresa por el grupo de investigaciones y cooperación. Este listado es imprescindible, necesario para diligenciamiento de tabla maestra interactiva. En la lista de investigaciones se encuentran 4 proyectos que accederán a recursos de regalías de los cuales uno (1) se encuentra en desarrollo, “Diseño e Implementación del  Banco Distrital de Células Madre de Cordón Umbilical BSCU” y dos (2) en iniciativas de investigación, los cuales se encuentran en trámites administrativos como la “ Implementación de la plataforma científica y tecnológica para la obtención de Fito medicamentos antitumorales con estándares internacionales Bogotá D.C.”;  “Enfermedad de Alzheimer y deterioro cognitivo en la zona cuarta de Bogotá: Estudios clínicos-ambientales, genómicos, epignéticos y de genomas personales” y una (1) que es la “ Creación de un registro nacional de donantes de células progenitoras hematopoyéticas en Colombia - Fase de Pre factibilidad”, que fue aceptada en el mes de noviembre del 2014.   Para la convocatoria 001 del 2014 de regalías , se escogieron tres (3) proyectos, que se encuentran en proceso de negociación, los cuales son:   “Sistema predictivo para la detección de niñas y adolescentes con alto riesgo de quedar en embarazo a temprana edad”; Estudio genómico y epigenómico del alcoholismo en población residente en Bogotá”; “Uso de antibióticos para promoción de crecimiento, tratamiento y prevención de enfermedades en animales de producción para consumo humano: ¿Una fuente de resistencia a Antibióticos?”.
*Innovación:
Los dos proyectos con un enfoque de innovación social, presentados ante la Secretaria Distrital de Planeación, pasaron el primer filtro y fueron seleccionados para hacer la presentación y sustentación correspondiente. Aprobación por parte de la Facultad de Ciencias de la Salud de la Corporación Universitaria Iberoamericana para el desarrollo de una investigación con una Empresa Social del Estado de la red pública adscrita.  Se logra aceptación en primera instancia del Hospital Pablo VI Bosa para el posible desarrollo del proyecto sobre innovación social, previa aprobación de sus comités de ética y de investigaciones.
Se logra agendar con directores de centros de investigación o desarrollo tecnológico reconocidos por Colciencias para visitas de referenciación. Se logra consensuar con la Corporación Universitaria Iberoamericana, la propuesta preliminar del proyecto de investigación sobre Innovación Social, que se espera permita desarrollar el modelo para el diagnóstico de capacidades y/o el diagnóstico de política pública del Distrito Capital. Se logra respuesta afirmativa para visita de referenciación por parte del Instituto de Telemedicina de la Universidad Nacional y por parte del Instituto de Genética ubicado también en la Universidad Nacional.
Se logra terminar las dos propuestas de proyectos para optar por recursos de regalías, enfocadas en innovación social.
Se cuenta con el plan de acción para el componente de innovación vigencia 2015. Se cuenta con la propuesta preliminar del proyecto titulado “Estudio de Iniciativas y capacidades en Innovación Social (IS) en los entornos de gobierno y comunidad de las E.S.E de la red pública adscrita y la Secretaría Distrital de Salud”, consolidada en el formato propuesto por la Secretaría de Planeación Distrital.
Se cuenta con la propuesta preliminar del proyecto sobre medicamentos, consolidada en el formato que demanda la Secretaría de Planeación Distrital, el cual se enmarca en la línea de Innovación social para la gestión de lo público e Innovación en modelos educativos. Los dos proyectos sobre innovación social radicados ante la Dirección de Políticas Sectoriales de la Secretaría Distrital de Planeación, fueron presentados y sustentados acorde con la citación y lineamiento dado por ellos.
Presentación mediante carta de intención al Hospital Pablo VI Bosa, la propuesta de proyecto de investigación sobre innovación social para desarrollo conjunto con la Corporación Universitaria Iberoamericana. Se logró agendar para el periodo, a directores de las subdirecciones de investigaciones y la de innovación del Instituto Nacional de Salud, para encuentro de referenciación.
Ajuste al proyecto dada la nueva solitud de la oficina de gestión del conocimiento del Hospital Pablo VI Bosa, así como de la documentación requerida para la sustentación ante el comité de ética de la ESE. Acuerdo de visita de referenciación para el 11 de junio del año en curso. 
Se logran acuerdos con los actores que participan en el proyecto de investigación “Estudio de las iniciativas y capacidades en Innovación Social para la salud en una E.S.E. adscrita a la red pública del Distrito”, relacionados con la metodología, así mismo con otros documentos que surjan para aprobación de las partes. Se logra aquiescencia por parte del nodo de innovación social del Distrito Capital, para posible participación con propuestas de innovación social para salud desde la Secretaría Distrital de Salud de Bogotá. Se cuenta con documento portafolio 2014 con ideas innovadoras consideradas por los Hospitales de la red pública adscrita.
*Comité de Ética para la Investigación en Salud:
Se ha logrado consensuar entre los integrantes de los CEIS de las ESE la propuesta de conformar la Red Distrital de CEIS. Se ha logrado finalizar los siguientes Documento: 1) Documento Resolución por la cual se reestructura el CEIS, (8 páginas). 2) Documento Resolución Por la cual se constituye la Red de Comités de Ética para la Investigación en Salud en el Distrito Capital (7 páginas). 3) Documento Informe del Comité de Ética para la Investigación en Salud, (10 páginas).  4) Ficha Sistematización de experiencias significativas de ciudad: Red Distrital de Comités de Ética para la Investigación en Salud (11 Páginas) y 5) Formato Plan de Trabajo Convenio de Cooperación entre la SDS y la Organización Panamericana de la Salud (OPS), 2015-2016.
Redacción de considerandos técnicos para la exposición de motivos y observaciones críticas a la propuesta de decreto “Por el cual se reglamenta la creación de Centros Regulados para el uso terapéutico de la marihuana y se dictan otras disposiciones”. Se ha logrado posicionar al Comité de ética para la investigación en salud de la SDS como una instancia relevante para la convocatoria y la discusión en ética en investigación en la ciudad de Bogotá.
Se ha logrado posicionar al Comité de ética para la investigación en salud de la SDS como una instancia relevante para la convocatoria y la discusión en ética en investigación en la ciudad. En la reunión de la RED-CEIS-BOGOTÁ, asistieron 80 personas provenientes de Comités de ética en investigación y ética hospitalaria.
Se ha logrado posicionar al Comité de Ética para la Investigación en Salud de la SDS y a la Red Distrital como instancias relevantes para la convocatoria y la discusión en ética en investigación en la ciudad. En el Panel sobre Eutanasia, se contó con la participación como conferencistas de los presidentes de: la Academia Nacional de Medicina;  la Asociación Colombiana de Cuidados Paliativos; la Fundación Pro Derecho a Morir Dignamente; Fundación Ginestra; el Director del Instituto de Bioética de la Universidad Javeriana; entre otros. Además de la participación de 134 personas que colmaron la capacidad de la Sala Magistral.
*Comité técnico de Investigaciones: 
Se logró la consolidación del informe con los análisis de los integrantes del Comité, para la evaluación de 3 investigaciones: 1) “Estudio descriptivo de eventos adversos post- aplicación de vacuna contra el virus del papiloma humano en Bogotá D.C”, 2) “Medición de la transferencia de anticuerpos de la gestante vacunada con DTP a celular al hijo y de su persistencia hasta el inicio de la vacunación con DPT acelular en Bogotá, Colombia año 2014”. 3) “Tiempos de respuesta del sistema pre hospitalario en pacientes con sospecha diagnóstica de ataque cerebral en Bogotá durante 2012”. Se identificaron investigaciones que pasaron por los comités de investigaciones  en el año 2014. Para el periodo se revisan las investigaciones que cumplan con los requisitos de la ruta de investigaciones para continuar desarrollo de las mismas. 
</t>
  </si>
  <si>
    <t xml:space="preserve">DISEÑO Y FORMULACIÓN DE LA POLÍTICA:
*Acompañamiento técnico a las ESE: Planes de trabajo de los proceso de investigaciones de los hospitales asistentes la Tunal, Pablo VI bosa, Sur, Centro Oriente. 
MOVILIZACIÓN DEL CONOCIMIENTO:
*Observatorio para la equidad en calidad de vida y salud de Bogotá - OECVS: Estructura técnica, investigativa y operativa del Observatorio. Lineamientos del proceso 2006-2014, Documento cronograma de conversatorios Equidad, Salud y Paz, junio – noviembre de 2015, Documento Determinantes Sociales de la Salud en Bogotá (14 páginas). Documento ajustado para los conversatorios Equidad, Salud y Paz, junio – noviembre de 2015 y Relatoría panel No 1: “Tendencias de organización y prestación de servicios” (6 páginas). Desarrollo Panel “Violencia Sexual y Violencia Homicida en Colombia: Dos aproximaciones analíticas”, realizado y documentado. Artículo informativo sobre Equidad, Salud y Paz, (3 páginas).
*Revista de investigaciones en seguridad social y Salud: El proceso continúa en varias etapas, segunda y tercera revisión y Revisión de estilo y diagramación, ya se hizo un plan de acción para la publicación de los artículos, así mismo se Terminaron las editoriales y se está trabajando en los ajustes sugeridos por la editora de la Revista.
*Cooperación Nacional e Internacional:
La agenda de cooperación al día. Fortalecimiento de relaciones con otras entidades del distrito (Alcaldía Mayor), con embajadas y otros agentes cooperantes. Beneficiando de esta manera el trabajo multidisciplinar, mejorando la comunicación interinstitucional, continuación en la búsqueda de recursos para la financiación de proyectos e intercambiando conocimiento para mejorar el quehacer de la SDS, así mismo, se fortalece el proceso de internacionalización de la ciudad. 
*Estrategia de Comunicaciones:
Cronograma y temas definidos para el espacio de debate, análisis y encuentro Investigaciones Habla. Diseñó y difusión de 125 diapositivas promocionales de los eventos del grupo, 7 Boletín BK2 de Investigaciones y Cooperación publicado cada mes de enero a julio, publicado y en la página web de la SDS. Se cuenta con la segunda edición del documento de sistematización Investigaciones Habla 2014. Realización de seis Investigaciones Habla del 2015. Socialización de eventos en Facebook. Realización Foro “Desarrollo Hospitalario en grandes ciudades”. Documento de memorias del 1er Congreso de Investigaciones terminado y en diagramación. Se cuenta con mil (1000) afiches de divulgación con el logo de investigaciones Habla.
*Portal del Conocimiento:
Desarrollo de Colecciones: La Dirección Administrativa asigno el recurso económico de $5.000.000 para la compra de libros. Se elaboró las reseñas de novedades de los títulos de interés para promocionarlos a la comunidad: Reseñas para la cartelera del mes en presentación Power Point (10) portadas, Boletín para actualizar cartelera de la biblioteca (novedades bibliográficas biblioteca) y Presentación de novedades bibliográficas por SDS, Comunicaciones.
Préstamo y consulta de Usuarios: Se continúa fortaleciendo los servicios de los sistemas de la biblioteca y recursos para atender las necesidades de usuarios actuales y potenciales.  Con el fin de cumplir con el propósito que tiene el portal del conocimiento, se lleva atendido 774 usuarios, que fueron beneficiados con la labor del portal del conocimiento por medio de la generación y facilitación del suministro de servicios de información, a nuestros usuarios: todos los colaboradores y colaboradoras de la secretaría de Salud y las Empresas sociales del Estado. Estudiantes, profesores en investigadores de otras instituciones públicas o privadas y el público en general. Con el fin de facilitar el ejercicio de la investigación y servir de apoyo a los procesos laborales de enseñanza y aprendizaje a los diferentes usuarios, por medio de la difusión de los conocimientos producidos en al SDS y ESE.
Así mismo se activado o renovado el servicio de préstamo interbibliotecario, con las Instituciones universitarias y gubernamentales que cuenten con bibliotecas o centro de documentación para apoyar los requerimientos de información de la comunidad.
Gestión de los Sistemas del Portal del Conocimiento en Salud: Se alimentó el catálogo con el material bibliográfico recientemente donado para la recuperación y consulta del mismo. Se socializó el proyecto del Repositorio institucional a las Empresas Sociales del Estado y Se solicitó a través de comunicación oficial a las dependencias de la SDS y ESE, la delegación de un referente para la recolección de la producción intelectual como resultado de las investigaciones y los informes producidos a nivel técnico, investigativo y administrativo. Para participar en la construcción de la memoria bibliográfica institucional.
Punto Vive Digital SDS: Para la Secretaria Distrital de Salud el Punto Vive Digital ha sido una oportunidad para impulsar y promover la masificación del uso y apropiación de las TIC, a los ciudadanos que diariamente nos visitan, igualmente favorecer a las comunidades de las localidades de Puente Aranda y Mártires, dando un salto hacia la prosperidad decomocrática, permitiendo que nuestros usuarios puedan acceder a un portafolio de servicios adecuado (acceso internet, capacitación, gobierno en línea y entretenimiento), según las necesidades de la población local, además somos parte del ecosistema digital que atiende en promedio mensual 150 a 200 usuarios y esperamos seguir expandiéndonos y alcanzar la metas proyectadas por el MinTIC, Fondo TIC, Fonade y la Alta Consejería.
GESTIÓN DEL CONOCIMIENTO:
*Fortalecimiento de capacidades: Fortalecimiento de 20 investigadores pertenecientes al grupo de investigación en temas relacionados con reingeniería y con el proceso de ciencia e investigación para la salud. Capacitación a investigadores sobre el manejo de la plataforma en Colciencias relacionadas con el CVlac. Se logra tener el borrador preliminar sobre el programa de fortalecimiento de capacidades. Conocimiento de los investigadores de las diferentes convocatorias que se encuentran en apertura para los grupos de investigación. Se cuenta con el programa de fortalecimiento de capacidades para la investigación.  Fortalecimiento de las capacidades de 11 funcionarios de la red de laboratorio de salud del Distrito, en temas relacionados con investigación, manejo de las herramientas de Colciencias.  
*Grupos de investigación: Mayor conocimiento de los tres (3) grupos avalados para que puedan participar en la nueva medición de grupos de Colciencias vigencia 2014- 2015, de las herramientas y actividades que deben realizar con miras a la Medición de Grupos.  Alianzas estratégicas de los Grupos de investigación entre Empresa (Privado), SDS y el Sector educativo.  Se cuenta con el reconocimiento y clasificación del grupo de investigación ante- Categoría C Colciencias (convocatoria 693/2014), frente al anuncio de los resultados finales. Trabajo para la obtención de mejor integración de los Grupos de investigación entre Empresa (Privado), SDS y el Sector educativo. (Actividad permanente). Se cuenta con la presentación de varios proyectos para la participación en las convocatorias de Colciencias.
*Semilleros de investigación:
Lineamientos de constitución del semillero. Plan de acción 2015. Documento informativo sobre el semillero de Investigaciones de la SDS, para incluirlo en el boletín semestral de investigaciones.
*Investigaciones para la salud:
En el marco del Convenio 1803 -2013, suscrito entre la SDS y la Universidad de San Buenaventura, Bogotá, cuyo objetivo fue “Desarrollar estudio que permita identificar, caracterizar, y analizar las investigaciones realizadas en Bogotá, D.C., en el campo de la salud, la calidad de vida y la enfermedad, durante el periodo de 2010 en adelante”, se tiene la base de datos y documentos generados, los cuales son relevantes para identificar investigaciones para la salud realizadas desde el año 2010.
En el curso de fortalecimiento de capacidades, en el marco del  Convenio 1426 del 2013 suscrito entre la SDS y la Fundación Universitaria de Ciencias de la salud (FUCS), se dio origen a 30 (treinta)  investigaciones entre funcionarios investigadores de  la Secretaría Distrital de Salud y las Empresas Sociales del Estado- ESE.   Las investigaciones son el insumo básico necesario para tener como resultado investigaciones para la salud a realizarse.  Se hace un pedido por $ 1.000.000 (mil millones de pesos), para ejecutarlas. Sin embargo a la fecha no conocemos la cifra real de aporte para desarrollo de las investigaciones. 
En el mes de abril, se abre la convocatoria 711 y 712 de 2015 de Colciencias para acceder a recursos para investigación. 
De acuerdo a lo anterior el Hospital Engativá y el Hospital Nazareth solicitan sean evaluados 2 proyectos en los comité de ética y comité de investigaciones, conceptos solicitados por Colciencias para presentarse a la convocatoria. 
El proyecto del Hospital Engativá es “Descripción de la situación biopsicosocial actual de mujeres que fueron madres adolescentes y cuyo parto fue atendido en el hospital Engativá durante el año 2010.”, y el proyecto, del Hospital Nazareth es “Impacto sobre la función neurológica de escolares por la exposición a plaguicidas en la localidad de Sumapaz”.
*Innovación: 
Dos proyectos con enfoque de innovación social, presentados ante la Secretaria Distrital de Planeación, seleccionados para hacer la presentación y sustentación correspondiente. Aprobación en la Facultad de Ciencias de la Salud de la Corporación Universitaria Iberoamericana para desarrollo de investigación con una Empresa Social del Estado de la red pública adscrita.  Aceptación del Hospital Pablo VI Bosa para desarrollo del proyecto sobre innovación social, solicito y se le envió la documentación requerida. Tres visitas de referenciación realizadas a centros de investigación o desarrollo tecnológico reconocidos por Colciencias: al Centro de Telemedicina, Instituto de Genética e Instituto de Desarrollo Humano (dis) capacidades y diversidades.
Propuesta preliminar titulada “Estudio de capacidades de Innovación Social para la Salud”, como piloto para aplicar en una Empresa Social del Estado de la red adscrita.
Dos proyectos con un enfoque de innovación social para salud, presentados en formato de perfil de proyecto de inversión en CT e I ante la Secretaría de Planeación Distrital, para optar por recursos de regalías.
Perfiles de los proyectos propuestos en líneas de innovación, consolidados en el formato que requiere la Secretaría de Planeación Distrital, los cuales pretenden optar por regalías para su cofinanciación en el desarrollo. Presentación y sustentación ante la Dirección de Políticas Sectoriales de la Secretaría de Planeación Distrital de dos proyectos sobre innovación social que pasaron el primer filtro para optar por recursos de regalías. Documentación ajustada y enviada acorde con requerimiento del Hospital Pablo VI Bosa para desarrollo de un proyecto sobre innovación social, acorde con las observaciones y requerimientos hechos. Visita de referenciación al Instituto Nacional de Salud – subdirección de investigaciones e innovación.
Presentación y sustentación ante el comité de ética del Hospital Pablo VI Bosa, del proyecto titulado “Estudio de las iniciativas y capacidades en Innovación Social en una E.S.E. adscrita a la Red Pública del Distrito" a desarrollar de manera conjunta con la Corporación Universitaria Iberoamericana. Visita de referenciación a la subdirección de investigaciones del Instituto Nacional de Cancerología con la participación de colaboradores de los Hospitales de la Victoria, Hospital Vista Hermosa, Hospital Rafael Uribe y  Hospital el Tunal.
Definición de acciones con los participantes en el proyecto de investigación “Estudio de las iniciativas y capacidades en Innovación Social para la salud en una E.S.E. adscrita a la red pública del Distrito”, que ayuden a construir la categoría de análisis de capacidades de innovación social en la E.S.E.
La Secretaria de Desarrollo Económico, como parte del nodo de innovación social del Distrito, convoca a la Secretaría Distrital de Salud a participar con propuestas que se enmarquen en el tema. Documento portafolio 2014 de ideas innovativas reportadas por los Hospitales de la red pública adscrita, terminado y enviado a coordinadora del área.
*Comité de Ética para la Investigación en Salud: Lineamientos de los procesos y desarrollos del CEIS, periodo 2009-Diciembre de 2014. Ficha para la sistematización de experiencias significativas de ciudad: Red Distrital de Comités de Ética de Investigación en Salud, 11 páginas. Resolución por la cual se reestructura el CEIS aprobada por la Oficina Asesora Jurídica. Resolución Por la cual se constituye la Red Distrital de Comités de Ética para la Investigación en Salud aprobada por la Oficina Asesora Jurídica. Presentación de la Resolución de la Red CEIS, (24 diapositivas). Estrategia didáctica para el Debate de la Eutanasia en Colombia.
Presentación en Power Point de la exposición “Ética en la priorización en la investigación en salud y consideraciones sobre poblaciones vulnerables”, presentada en la reunión de la RED_CEIS_BOGOTÁ, del 18 de junio de 2015. Estrategia didáctica para el abordaje de los dos conversatorios.  Relatoría panel No 1: “Tendencias de organización y prestación de servicios” (6 páginas). Panel La Reglamentación de la Eutanasia en Colombia, realizado y documentado. Acta y listado de asistencia al Panel. Elaboración de la presentación en Power Point de la exposición “La Resolución 1216 de 2015”, en el marco de la contextualización sobre la Reglamentación de la Eutanasia en Colombia. Impacto sobre la capacidad cognitiva global de escolares por la exposición prenatal y posnatal a plaguicidas en la localidad de Sumapaz, (presentado por el Hospital Nazareth y la Universidad EAN). 
Descripción de la situación biopsicosocial actual de mujeres que fueron madres adolescentes y cuyo parto fue atendido en el Hospital Engativá durante el año 2010, presentado por el Hospital Engativá. Elaboración de carta de aval institucional para la realización de la investigación: Historia clínica integral en APIS con enfoque en determinantes de la salud (presentado por la Universidad El Bosque).
*Comité técnico de Investigaciones:
Informe aval de 3 investigaciones: 1) “Estudio descriptivo de eventos adversos post- aplicación de vacuna contra el virus del papiloma humano en Bogotá D.C”, 2) “Medición de la transferencia de anticuerpos de la gestante vacunada con DTP a celular al hijo y de su persistencia hasta el inicio de la vacunación con DPT acelular en Bogotá, Colombia año 2014”. 3) “Tiempos de respuesta del sistema pre hospitalario en pacientes con sospecha diagnóstica de ataque cerebral en Bogotá durante 2012”. Se tiene listado de investigaciones que deben pasar por el comité de investigaciones y comité de ética. Se tiene listado de investigaciones que deben pasar por el comité de investigaciones y comité de ética.
DISEÑO Y FORMULACIÓN DE LA POLÍTICA:
*Acompañamiento técnico a las ESE: Planes de trabajo de los proceso de investigaciones de los hospitales asistentes la Tunal, Pablo VI bosa, Sur, Centro Oriente. 
MOVILIZACIÓN DEL CONOCIMIENTO:
*Observatorio para la equidad en calidad de vida y salud de Bogotá - OECVS: Estructura técnica, investigativa y operativa del Observatorio. Lineamientos del proceso 2006-2014, Documento cronograma de conversatorios Equidad, Salud y Paz, junio – noviembre de 2015, Documento Determinantes Sociales de la Salud en Bogotá (14 páginas). Documento ajustado para los conversatorios Equidad, Salud y Paz, junio – noviembre de 2015 y Relatoría panel No 1: “Tendencias de organización y prestación de servicios” (6 páginas). Desarrollo Panel “Violencia Sexual y Violencia Homicida en Colombia: Dos aproximaciones analíticas”, realizado y documentado. Artículo informativo sobre Equidad, Salud y Paz, (3 páginas).
*Revista de investigaciones en seguridad social y Salud: El proceso continúa en varias etapas, segunda y tercera revisión y Revisión de estilo y diagramación, ya se hizo un plan de acción para la publicación de los artículos, así mismo se Terminaron las editoriales y se está trabajando en los ajustes sugeridos por la editora de la Revista.
*Cooperación Nacional e Internacional:
La agenda de cooperación al día. Fortalecimiento de relaciones con otras entidades del distrito (Alcaldía Mayor), con embajadas y otros agentes cooperantes. Beneficiando de esta manera el trabajo multidisciplinar, mejorando la comunicación interinstitucional, continuación en la búsqueda de recursos para la financiación de proyectos e intercambiando conocimiento para mejorar el quehacer de la SDS, así mismo, se fortalece el proceso de internacionalización de la ciudad. 
*Estrategia de Comunicaciones:
Cronograma y temas definidos para el espacio de debate, análisis y encuentro Investigaciones Habla. Diseñó y difusión de 125 diapositivas promocionales de los eventos del grupo, 7 Boletín BK2 de Investigaciones y Cooperación publicado cada mes de enero a julio, publicado y en la página web de la SDS. Se cuenta con la segunda edición del documento de sistematización Investigaciones Habla 2014. Realización de seis Investigaciones Habla del 2015. Socialización de eventos en Facebook. Realización Foro “Desarrollo Hospitalario en grandes ciudades”. Documento de memorias del 1er Congreso de Investigaciones terminado y en diagramación. Se cuenta con mil (1000) afiches de divulgación con el logo de investigaciones Habla.
*Portal del Conocimiento:
Desarrollo de Colecciones: La Dirección Administrativa asigno el recurso económico de $5.000.000 para la compra de libros. Se elaboró las reseñas de novedades de los títulos de interés para promocionarlos a la comunidad: Reseñas para la cartelera del mes en presentación Power Point (10) portadas, Boletín para actualizar cartelera de la biblioteca (novedades bibliográficas biblioteca) y Presentación de novedades bibliográficas por SDS, Comunicaciones.
Préstamo y consulta de Usuarios: Se continúa fortaleciendo los servicios de los sistemas de la biblioteca y recursos para atender las necesidades de usuarios actuales y potenciales.  Con el fin de cumplir con el propósito que tiene el portal del conocimiento, se lleva atendido 774 usuarios, que fueron beneficiados con la labor del portal del conocimiento por medio de la generación y facilitación del suministro de servicios de información, a nuestros usuarios: todos los colaboradores y colaboradoras de la secretaría de Salud y las Empresas sociales del Estado. Estudiantes, profesores en investigadores de otras instituciones públicas o privadas y el público en general. Con el fin de facilitar el ejercicio de la investigación y servir de apoyo a los procesos laborales de enseñanza y aprendizaje a los diferentes usuarios, por medio de la difusión de los conocimientos producidos en al SDS y ESE.
Así mismo se activado o renovado el servicio de préstamo interbibliotecario, con las Instituciones universitarias y gubernamentales que cuenten con bibliotecas o centro de documentación para apoyar los requerimientos de información de la comunidad.
Gestión de los Sistemas del Portal del Conocimiento en Salud: Se alimentó el catálogo con el material bibliográfico recientemente donado para la recuperación y consulta del mismo. Se socializó el proyecto del Repositorio institucional a las Empresas Sociales del Estado y Se solicitó a través de comunicación oficial a las dependencias de la SDS y ESE, la delegación de un referente para la recolección de la producción intelectual como resultado de las investigaciones y los informes producidos a nivel técnico, investigativo y administrativo. Para participar en la construcción de la memoria bibliográfica institucional.
Punto Vive Digital SDS: Para la Secretaria Distrital de Salud el Punto Vive Digital ha sido una oportunidad para impulsar y promover la masificación del uso y apropiación de las TIC, a los ciudadanos que diariamente nos visitan, igualmente favorecer a las comunidades de las localidades de Puente Aranda y Mártires, dando un salto hacia la prosperidad decomocrática, permitiendo que nuestros usuarios puedan acceder a un portafolio de servicios adecuado (acceso internet, capacitación, gobierno en línea y entretenimiento), según las necesidades de la población local, además somos parte del ecosistema digital que atiende en promedio mensual 150 a 200 usuarios y esperamos seguir expandiéndonos y alcanzar la metas proyectadas por el MinTIC, Fondo TIC, Fonade y la Alta Consejería.
GESTIÓN DEL CONOCIMIENTO:
*Fortalecimiento de capacidades: Fortalecimiento de 20 investigadores pertenecientes al grupo de investigación en temas relacionados con reingeniería y con el proceso de ciencia e investigación para la salud. Capacitación a investigadores sobre el manejo de la plataforma en Colciencias relacionadas con el CVlac. Se logra tener el borrador preliminar sobre el programa de fortalecimiento de capacidades. Conocimiento de los investigadores de las diferentes convocatorias que se encuentran en apertura para los grupos de investigación. Se cuenta con el programa de fortalecimiento de capacidades para la investigación.  Fortalecimiento de las capacidades de 11 funcionarios de la red de laboratorio de salud del Distrito, en temas relacionados con investigación, manejo de las herramientas de Colciencias.  
*Grupos de investigación: Mayor conocimiento de los tres (3) grupos avalados para que puedan participar en la nueva medición de grupos de Colciencias vigencia 2014- 2015, de las herramientas y actividades que deben realizar con miras a la Medición de Grupos.  Alianzas estratégicas de los Grupos de investigación entre Empresa (Privado), SDS y el Sector educativo.  Se cuenta con el reconocimiento y clasificación del grupo de investigación ante- Categoría C Colciencias (convocatoria 693/2014), frente al anuncio de los resultados finales. Trabajo para la obtención de mejor integración de los Grupos de investigación entre Empresa (Privado), SDS y el Sector educativo. (Actividad permanente). Se cuenta con la presentación de varios proyectos para la participación en las convocatorias de Colciencias.
*Semilleros de investigación:
Lineamientos de constitución del semillero. Plan de acción 2015. Documento informativo sobre el semillero de Investigaciones de la SDS, para incluirlo en el boletín semestral de investigaciones.
*Investigaciones para la salud:
En el marco del Convenio 1803 -2013, suscrito entre la SDS y la Universidad de San Buenaventura, Bogotá, cuyo objetivo fue “Desarrollar estudio que permita identificar, caracterizar, y analizar las investigaciones realizadas en Bogotá, D.C., en el campo de la salud, la calidad de vida y la enfermedad, durante el periodo de 2010 en adelante”, se tiene la base de datos y documentos generados, los cuales son relevantes para identificar investigaciones para la salud realizadas desde el año 2010.
En el curso de fortalecimiento de capacidades, en el marco del  Convenio 1426 del 2013 suscrito entre la SDS y la Fundación Universitaria de Ciencias de la salud (FUCS), se dio origen a 30 (treinta)  investigaciones entre funcionarios investigadores de  la Secretaría Distrital de Salud y las Empresas Sociales del Estado- ESE.   Las investigaciones son el insumo básico necesario para tener como resultado investigaciones para la salud a realizarse.  Se hace un pedido por $ 1.000.000 (mil millones de pesos), para ejecutarlas. Mas sin embargo a la fecha no conocemos la cifra real de aporte para desarrollo de las investigaciones. 
En el mes de abril, se abre la convocatoria 711 y 712 de 2015 de Colciencias para acceder a recursos para investigación. 
De acuerdo a lo anterior el Hospital Engativá y el Hospital Nazareth solicitan sean evaluados 2 proyectos en los comité de ética y comité de investigaciones, conceptos solicitados por Colciencias para presentarse a la convocatoria. 
El proyecto del Hospital Engativá es “Descripción de la situación biopsicosocial actual de mujeres que fueron madres adolescentes y cuyo parto fue atendido en el hospital Engativá durante el año 2010.”, y el proyecto, del Hospital Nazareth es “Impacto sobre la función neurológica de escolares por la exposición a plaguicidas en la localidad de Sumapaz”.
*Innovación: 
Dos proyectos con enfoque de innovación social, presentados ante la Secretaria Distrital de Planeación, seleccionados para hacer la presentación y sustentación correspondiente. Aprobación en la Facultad de Ciencias de la Salud de la Corporación Universitaria Iberoamericana para desarrollo de investigación con una Empresa Social del Estado de la red pública adscrita.  Aceptación del Hospital Pablo VI Bosa para desarrollo del proyecto sobre innovación social, solicito y se le envió la documentación requerida. Tres visitas de referenciación realizadas a centros de investigación o desarrollo tecnológico reconocidos por Colciencias: al Centro de Telemedicina, Instituto de Genética e Instituto de Desarrollo Humano (dis) capacidades y diversidades.
Propuesta preliminar titulada “Estudio de capacidades de Innovación Social para la Salud”, como piloto para aplicar en una Empresa Social del Estado de la red adscrita.
Dos proyectos con un enfoque de innovación social para salud, presentados en formato de perfil de proyecto de inversión en CT e I ante la Secretaría de Planeación Distrital, para optar por recursos de regalías.
Perfiles de los proyectos propuestos en líneas de innovación, consolidados en el formato que requiere la Secretaría de Planeación Distrital, los cuales pretenden optar por regalías para su cofinanciación en el desarrollo. Presentación y sustentación ante la Dirección de Políticas Sectoriales de la Secretaría de Planeación Distrital de dos proyectos sobre innovación social que pasaron el primer filtro para optar por recursos de regalías. Documentación ajustada y enviada acorde con requerimiento del Hospital Pablo VI Bosa para desarrollo de un proyecto sobre innovación social, acorde con las observaciones y requerimientos hechos. Visita de referenciación al Instituto Nacional de Salud – subdirección de investigaciones e innovación.
Presentación y sustentación ante el comité de ética del Hospital Pablo VI Bosa, del proyecto titulado “Estudio de las iniciativas y capacidades en Innovación Social en una E.S.E. adscrita a la Red Pública del Distrito" a desarrollar de manera conjunta con la Corporación Universitaria Iberoamericana. Visita de referenciación a la subdirección de investigaciones del Instituto Nacional de Cancerología con la participación de colaboradores de los Hospitales de la Victoria, Hospital Vista Hermosa, Hospital Rafael Uribe y  Hospital el Tunal.
Definición de acciones con los participantes en el proyecto de investigación “Estudio de las iniciativas y capacidades en Innovación Social para la salud en una E.S.E. adscrita a la red pública del Distrito”, que ayuden a construir la categoría de análisis de capacidades de innovación social en la E.S.E.
La Secretaria de Desarrollo Económico, como parte del nodo de innovación social del Distrito, convoca a la Secretaría Distrital de Salud a participar con propuestas que se enmarquen en el tema. Documento portafolio 2014 de ideas innovativas reportadas por los Hospitales de la red pública adscrita, terminado y enviado a coordinadora del área.
*Comité de Ética para la Investigación en Salud: Lineamientos de los procesos y desarrollos del CEIS, periodo 2009-Diciembre de 2014. Ficha para la sistematización de experiencias significativas de ciudad: Red Distrital de Comités de Ética de Investigación en Salud, 11 páginas. Resolución por la cual se reestructura el CEIS aprobada por la Oficina Asesora Jurídica. Resolución Por la cual se constituye la Red Distrital de Comités de Ética para la Investigación en Salud aprobada por la Oficina Asesora Jurídica. Presentación de la Resolución de la Red CEIS, (24 diapositivas). Estrategia didáctica para el Debate de la Eutanasia en Colombia.
Presentación en Power Point de la exposición “Ética en la priorización en la investigación en salud y consideraciones sobre poblaciones vulnerables”, presentada en la reunión de la RED_CEIS_BOGOTÁ, del 18 de junio de 2015. Estrategia didáctica para el abordaje de los dos conversatorios.  Relatoría panel No 1: “Tendencias de organización y prestación de servicios” (6 páginas). Panel La Reglamentación de la Eutanasia en Colombia, realizado y documentado. Acta y listado de asistencia al Panel. Elaboración de la presentación en Power Point de la exposición “La Resolución 1216 de 2015”, en el marco de la contextualización sobre la Reglamentación de la Eutanasia en Colombia. Impacto sobre la capacidad cognitiva global de escolares por la exposición prenatal y posnatal a plaguicidas en la localidad de Sumapaz, (presentado por el Hospital Nazareth y la Universidad EAN). 
Descripción de la situación biopsicosocial actual de mujeres que fueron madres adolescentes y cuyo parto fue atendido en el Hospital Engativá durante el año 2010, presentado por el Hospital Engativá. Elaboración de carta de aval institucional para la realización de la investigación: Historia clínica integral en APIS con enfoque en determinantes de la salud (presentado por la Universidad El Bosque).
*Comité técnico de Investigaciones:
Informe aval de 3 investigaciones: 1) “Estudio descriptivo de eventos adversos post- aplicación de vacuna contra el virus del papiloma humano en Bogotá D.C”, 2) “Medición de la transferencia de anticuerpos de la gestante vacunada con DTP a celular al hijo y de su persistencia hasta el inicio de la vacunación con DPT acelular en Bogotá, Colombia año 2014”. 3) “Tiempos de respuesta del sistema pre hospitalario en pacientes con sospecha diagnóstica de ataque cerebral en Bogotá durante 2012”. Se tiene listado de investigaciones que deben pasar por el comité de investigaciones y comité de ética. Se tiene listado de investigaciones que deben pasar por el comité de investigaciones y comité de ética.
</t>
  </si>
  <si>
    <t xml:space="preserve">MOVILIZACIÓN DEL CONOCIMIENTO:
*Observatorio para la equidad en calidad de vida y salud de Bogotá - OECVS: No ha sido posible obtener copia escaneada de la Resolución 0609 del 5 de mayo de 2015, “Por medio de la cual se crean el Comité Coordinador y la Unidad Técnica de Apoyo del Observatorio para la Equidad en Calidad de Vida y Salud de Bogotá”, porque a pesar de contar con la numeración y fecha de expedición, aún no ha sido firmada por el Secretario Distrital de Salud de Bogotá. Por otra parte, el Proyecto de Decreto y la Exposición de Motivos Técnico Jurídica y de Conveniencia del Observatorio no ha sido firmado por el Secretario Distrital de Salud, por lo tanto, no han sido remitidos a la Secretaría General de la Alcaldía Mayor de Bogotá.
*Revista de investigaciones en seguridad social y Salud:
Para dar celeridad a la publicación de los números que hacen falta es importante que el corrector de estilo revise todos los artículos y los envié para su diagramación. También es importante que el diagramador entregue la primera revista del Volumen 14(1) Solución: Enviar correo o hacer otra reunión con la oficina de comunicaciones de la S.D.S.  
*Portal del Conocimiento:
Se presentan dificultades en la Gestión de los Sistemas del Portal del Conocimiento en Salud: 1) Catalogo: Actualmente se encuentra instalado local en el equipo del profesional, por lo tanto se solicitó a Sistemas la instalación en el equipo de Bibliotecólogo (a) y así mismo disponer de este recurso on line en la página web de la SDS y en los equipos de la biblioteca para la recuperación y búsqueda de información por parte de los usuarios. 2) Repositorio Institucional: Recuperación de la información de Repositorio Digital en Salud, ya que se encuentra fuera de servicio desde el mes de Abril de 2012, debido a dificultades de espacio en el servidor que soporta la intranet y extranet de la SDS, se reactivó el proyecto del repositorio institucional para llevar a cabo todas las actividades técnicas para la recolección de la producción intelectual de la SDS y ESE. 3) Bases de datos: las bases de datos adquiridas en años anteriores no tienen contrato vigente y tampoco hay un presupuesto asignado para la renovación, por tanto se está haciendo una revisión y validación de las bases de datos de acceso abierto y libres relacionados con temas de medicina y salud, para disponer de ellas en la página web de la biblioteca y gestionar este recurso como fuentes de información para las actividades académicas e investigativas de los usuarios internos y externos. 4) Punto Vive Digital SDS: Terminación del contrato con los Guías TIC-ETB el 4 de septiembre de 2015, por tanto se solicitó a través de comunicación oficial a la Alta Consejería y a Fonade la ampliación del contrato. Formalizar la donación de los equipos e infraestructura tecnológica del PVD, se solicitó a través de comunicación oficial a Fonade y Alta Consejería la intensión de aceptar la donación para tramitar formalmente a través de escritura pública ante notario.
GESTIÓN DEL CONOCIMIENTO:
*Fortalecimiento de capacidades:
El programa de fortalecimiento de capacidades no cuenta con recursos. 
*Grupos de investigación:
Falta de recursos para poder realizar las capacitaciones magistrales relacionadas con investigación a los grupos y para los investigadores.  
*Investigaciones para la salud:
Se presenta dificultad en la respuesta por parte de otras direcciones de la SDS y de las ESE para definir realización de investigaciones desde el punto de vista administrativo y científico, para lo cual se está involucrando a los miembros del comité de investigaciones para que sus respectivos coordinadores conozcan tanto los procesos que se llevan a cabo en la oficina de investigaciones y cooperación como el desarrollo de proyectos de investigación. 
La dificultad reciente es el hecho que en la SDS se inició la reestructuración, generándose diferentes subsecretarías, para lo cual se estima que se estarán identificando profesionales que tengan como función el seguimiento de las investigaciones al interior de las mismas. Como solución se proyectan mesas de trabajo para que las personas que sean identificadas aporten en éste proceso.  
De acuerdo a la solicitud de $ 1.000.000 (mil millones de pesos), para ejecutar las investigaciones, lo definirán de acuerdo a ajustes del presupuesto, sin embargo el no realizarlas implicaría el no cumplimiento de la misión y visión de investigar en la Secretaría Distrital de Salud y las Empresas Sociales del Estado.
*Innovación: 
Como estrategia de emprendimiento, sostenibilidad institucional y mejoramiento en la calidad de vida para la población de Bogotá Distrito Capital, dar relevancia a la innovación para salud.
*Comité de Ética para la Investigación en Salud:
No ha sido posible obtener copia escaneada de la Resolución 0469 del 27 de abril de 2015, “Por medio de la cual se reestructura el Comité de Ética para la Investigación en Salud”, porque a pesar de contar con la numeración y fecha de expedición, aún no ha sido firmada por el Secretario Distrital de Salud de Bogotá.
No ha sido posible obtener copia escaneada de la Resolución 0608 del 5 de mayo de 2015, “Por medio de la cual se crea la Red Distrital de Comités de Ética para la Investigación en Salud en Bogotá, D.C.”, porque a pesar de contar con la numeración y fecha de expedición, aún no ha sido firmada por el Secretario Distrital de Salud de Bogotá.
*Comité técnico de Investigaciones: 
La profesional que manejaba el comité de investigaciones fue trasladada a un nueva Dirección por la reestructuración de la Entidad. Por lo anterior se retoma el proceso donde se recibieron informes, actas, investigaciones, memorandos etc., para ser sistematizados y continuar con proceso, procedimiento y actividades de Comité de investigaciones de la entidad.
</t>
  </si>
  <si>
    <t xml:space="preserve">MOVILIZACIÓN DEL CONOCIMIENTO:
*Observatorio para la equidad en calidad de vida y salud de Bogotá - OECVS: Sin la base legal que conforma las distintas instancias del Observatorio, no es posible cumplir con los objetivos encomendados al mismo.
*Revista de investigaciones en seguridad social y Salud: 
Los autores presentan falencias estructurales y conceptuales para la elaboración de artículos. Solución: Mejorar las capacidades del personal de salud en la elaboración de artículos.  
GESTIÓN DEL CONOCIMIENTO:
*Fortalecimiento de capacidades:
El programa realizado para el fortalecimiento de capacidades para la investigación, no cuenta con recursos se hace gestión para conseguir ponentes que realicen charlas de forma gratuita.
*Investigaciones para la salud: 
Se requiere apoyo financiero para realización de investigaciones tanto para las SDS y las ESE.
*Comité de Ética para la Investigación en Salud:
Sin la base legal que sustenta al Comité y a la Red Distrital, no es posible cumplir con los objetivos establecidos para esas dos instancias.
*Comité técnico de Investigaciones: 
Se requiere apoyo de las nacientes Subsecretarías  para el desarrollo del comité de investigaciones. Así mismo es requerido el apoyo de los abogados de la Subsecretaría de Planeación y Gestión Sectorial y la Oficina Jurídica para realizar la nueva resolución que reemplaza al 0454 de 2014, que le da plataforma legal al comité de investigaciones.
</t>
  </si>
  <si>
    <t>DESPLAZADOS INDIGENAS</t>
  </si>
  <si>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</si>
  <si>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</si>
  <si>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</si>
  <si>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</si>
  <si>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</si>
  <si>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</si>
  <si>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</si>
  <si>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</si>
  <si>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</si>
  <si>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</si>
  <si>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</si>
  <si>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</si>
  <si>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</si>
  <si>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</si>
  <si>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</si>
  <si>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</si>
  <si>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</si>
  <si>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</si>
  <si>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</si>
  <si>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</si>
  <si>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</si>
  <si>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t>
  </si>
  <si>
    <t>2 - SISTEMA GENERAL DE PARTICIPACIONES</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</si>
  <si>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</si>
  <si>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</si>
  <si>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</si>
  <si>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</si>
  <si>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</si>
  <si>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</si>
  <si>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13 - OTROS RECURSOS DE BANCA NACIONAL Y MULTILATERAL</t>
  </si>
  <si>
    <t>DEFINITIVO</t>
  </si>
  <si>
    <t>EJECUTADO O COMPROMETIDO</t>
  </si>
  <si>
    <t>%</t>
  </si>
  <si>
    <t xml:space="preserve">Se cuentan con los estudios previos de la Estructuración de la Política de ciencia, tecnología e innovación para la salud a partir de los desarrollos del plan de ciencia, tecnología e innovación para la salud. En relación al balance sobre avance en el logro de la meta “DISEÑO, FORMULACION E IMPLEMENTACION DE LA POLITICA DISTRITAL DE CIENCIA Y TECNOLOGIA".
Es importante tener en cuenta que las acciones realizadas por el grupo de investigaciones y cooperación en la gestión y  movilización  del conocimiento contribuyen en la formulación de la Política de  CTI para la Salud. Así mismo,  en la  página de la SDS se encuentra publicado el Plan  de CTI para la salud, acompañado de una encuesta como parte del proceso de socialización y retroalimentación.  Los insumos de esta encuesta retroalimentarán el proceso de formulación.
A su vez, para avanzar en la formulación del Plan, desde la coordinación del grupo de investigaciones y cooperación, se han venido realizando reuniones con distintos grupos a fin de construir una propuesta para la formulación de la política.
*Política y Plan de CTI y Agenda de investigaciones:
Se ajusta el documento de “formación de política en ciencia, tecnología e innovación para la salud”, de acuerdo a las observaciones y sugerencias realizadas en la primera revisión. Pendiente nueva revisión. Se ajusta documento para incluirlo en el boletín semestral de investigaciones, sobre el proceso de formación de política de CTI para la salud.
Participación en el espacio de investigaciones habla, donde se realiza el cierre del primer ciclo, dedicado a investigaciones relacionadas con Sistemas, servicios y políticas de salud. Se realizan nuevos ajustes al documento de “lineamientos de la Política de CTI para la salud”.
*Acompañamiento técnico a las ESE:
Se realiza la visita al hospital de Pablo VI Bosa para conocer los avances en investigaciones a partir del proceso desarrollado.
Se lleva a cabo la reunión mensual con las ESE cuyo objetivo fue “compartir con las ESE lineamientos que permitan avanzar en la consolidación de la información que formará parte del repositorio digital, como una estrategia de movilización del conocimiento.
</t>
  </si>
  <si>
    <t xml:space="preserve">Se cuenta con la contratación para la prestación de servicios de apoyo logístico para la realización de eventos que permitan generar estrategias en la apropiación del conocimiento para la salud en el Distrito Capital: 1) Realizar el apoyo técnico y logístico para el desarrollo del primer encuentro de sistemas de salud: Territorios saludables como modelo de salud, 2) evento internacional de Segregación (asociado al producto de paz y postconflicto) y 3) evento internacional de APS y el papel de los hospitales locales. 
Se cuentan con los estudios previos de la Realización de la revisión de pares de los artículos para publicar para dos nuevos volúmenes para la revista de Investigaciones en Seguridad Social y Salud de la Secretaría Distrital de Salud y para el Segundo congreso distrital de investigaciones. Dentro de esta actividad se realizan los siguientes procesos para dar cumplimiento a la meta del proyecto:
* Observatorio para la equidad en calidad de vida y salud de Bogotá - OECVS: 
Proceso de convocatoria para las reuniones del 14 y 21 de julio de 2015, de la Comisión del Observatorio e Investigaciones de Salud y Paz, en el marco de la Cátedra Abierta La Salud en la Construcción de la Paz.
Proceso de consecución de los conferencistas para el Panel Violencia Sexual y Violencia Homicida en Colombia: Dos perspectivas analíticas.
Proceso de convocatoria para la realización del Panel Violencia Sexual y Violencia Homicida en Colombia.
Proceso de inscripción al Panel Violencia Sexual y Violencia Homicida en Colombia, en el correo: debatesequidadsaludypaz@gmail.com, con 180 inscriptos.
Búsqueda y sistematización de bibliografía sobre violencia sexual y violencia homicida en Colombia para ser divulgada entre los eventuales asistentes al panel del 23 de julio de 2015.
Elaboración de la agenda del Panel Violencia Sexual y Violencia Homicida en Colombia: Dos aproximaciones analíticas.
Recepción, revisión, clasificación y sistematización de los archivos físicos y magnéticos del OECVS.
Correcciones al artículo informativo sobre Equidad, Salud y Paz, que dé cuenta de manera sintética del proceso, para ser publicado en el Boletín de Investigaciones.
*Revista de investigaciones en seguridad social y Salud: 
En general se está recopilando los artículos de la Revista volumen 14 (2 y Volumen 15 (1) para diagramar y publicar.
Se solicitó nuevamente cotizaciones para el proceso de menor cuantía y para la realización del estudio de sector, Se hizo asesoría con los autores que enviaron el artículo a la Revista de la Secretaría Distrital de Salud de Bogotá, D.C. 
Se solicitó una reunión con el Subsecretario de Gestión y Planeacion Sectorial doctor Julio Alberto Rincón Ramírez para que se socialicen los estudios que se van a hacer por Convenio, a fin de que una vez lleguen al Despacho del Señor Secretario no sean devueltos. Como no hubo respuesta Se ajustó el preliminar de los estudios previos y se va a hacer por la modalidad de Menor Cuantía y por contrato, se cambió el nombre del objeto así: “Contratar la prestación de servicios para el fortalecimiento de la movilización del conocimiento en dos procesos: La Revista de Salud y Seguridad Social y apoyo a la realización del Segundo Congreso en Investigación en Salud”. Valor $ 236.807.000
*Cooperación Nacional e Internacional: 
Seguimiento al plan de trabajo detallado para la implementación de la agenda internacional en salud. Coordinación con las 22 ESE para participar en ‘vitrina’ del Foro Internacional Semana Psiacoactiva 2015. Revisión de información sobre cumbres, seminarios, capacitaciones, convocatorias, etc sobre asuntos de cooperación, asociaciones público-privadas, relaciones internacionales y similares en asuntos de salud de carácter nacional e internacional para la divulgación entre la SDS y las ESE para su información y participación.
Coordinación, asistencia y participación en: 1) dos  reuniones convocadas con la DDRI para Bogotá Climate Summit, 2) reunión con equipo de la SDS y de la OPS/OMS para revisión de minuta (compromisos, tiempos, responsabilidades y productos) para el convenio específico de cooperación, 3) reunión de seguimiento a Comité de Laboratorios para exposición y explicación de los procesos y procedimientos para la elaboración de memorandos de entendimientos y convenios de cooperación internacional y 4) lanzamiento del Bogotá Climatte Summit convocada por Alcalde Mayor.
*Estrategia de Comunicaciones:
Revisión semanal de las página de instituciones del sector de la salud especializadas en investigaciones, ciencia, tecnología e innovación -incluida COLCIENCIAS- para actualizar la información sobre convocatorias, cursos o proyectos. Revisión digital de las convocatorias sobre investigaciones. Revisión diaria de noticias del sector. Edición del Boletín de convocatorias BK2 para el mes de julio Por otro lado, se han diseñado 20piezas de comunicación para la divulgación de los diferentes eventos de investigaciones y CTI en salud (convocatorias, cursos, seminarios, talleres, etc.). Coordinación general con la Oficina de comunicaciones para la movilización del conocimiento en investigaciones. Reuniones con el operador logístico para la organización del evento de Hospitales verdes. Se avanzó en la segunda entrega editada de los lineamientos 2015 de Investigaciones y Cooperación. Se está terminado el Boletín de Investigaciones para enviarlo a corrección de Estilo y diagramación.
*Portal del Conocimiento:  
Prestación de servicios y programas de biblioteca. Contando con los servicios atención a usuarios, préstamo de material (interno, externo, interbibliotecario), uso de computadores.
Elaboración de reseñas y publicación de las nuevas adquisiciones mes de julio: Reseñas para la cartelera del mes en presentación Power Point (10) portadas, Boletín para actualizar cartelera de la biblioteca (novedades bibliográficas biblioteca), Presentación de novedades bibliográficas por SDS, Comunicaciones.
Procesamiento físico de donaciones y canjes de documentos efectuados por las diferentes dependencias de la SDS y las diferentes instituciones Distritales y/o Nacionales:  (25) encabezamientos de materia para recuperar los contenidos de los libros, con análisis de contenidos, número de catalogación y encabezamientos de materia para ingresar a la base de datos WINISIS y visibilizarlos por Internet a través del catálogo en línea, Marcación de (46) libros con sellos y fecha de vencimientos en los libros catalogados en la biblioteca, Rótulos No. topográfico a (46)  de libros para poner a disposición de los usuarios de internos y externos de la biblioteca y Códigos de barras a (25) libros para control de inventario. 
Documento informe mensual consolidado satisfacción de servicios, programas y usuarios internos y externos a diario (estadísticas).
Clasificar inicial de donaciones y canjes de documentos efectuados por las diferentes dependencias de la SDS y las diferentes instituciones Distritales y/o Nacionales: (25) Documentos (libros, boletines, folletos, cartillas, revistas, etc.) se reciben en donación de información en salud en el mes de Julio y levantamiento (203) documentos en base Excel del proceso de donación, para definir que material se cataloga, se descarta y se dona a otras Bibliotecas de acuerdo a la naturaleza del material bibliográfico.
Punto Vive Digital: Realizar Visitas a los conjuntos residenciales del sector (Colseguros, Usatama y plaza de la Hoja) para promocionar el punto con los administradores y pegar afiches y repartir volantes para el evento del mes de las TIC.
</t>
  </si>
  <si>
    <t xml:space="preserve">Gestión del conocimiento a través del desarrollo de investigaciones. </t>
  </si>
  <si>
    <t xml:space="preserve">Dentro de esta actividad se realizan los siguientes procesos para dar cumplimiento a la meta del proyecto:
*Fortalecimiento de capacidades: 
Se trabaja para integrar a toda la institución en el proceso de fortalecimiento de capacidades, en el marco de la eficiencia y bajo el modelo de la gestión del conocimiento desde el Capital Intelectual, se realiza capacitación a los investigadores y grupos de investigación de la SDS y la ESE y se realiza capacitación a la red de laboratorio de salud del Distrito.
*Grupos de investigación:
Se realiza semanalmente chequeo y actualización del CvLAC de algunos investigadores, así como la información de GrupLAC e InstituLAC - plataforma ScienTI. Se brinda asesoría técnica individual a los investigadores de la SDS y la ESE, relacionada con el manejo del CVlac y el Gruplac. Se realizan asesorías técnicas, financieras a los investigadores pertenecientes a los grupos de investigación. Se envía un e-mail a los investigadores comunicándoles sobre las convocatorias de Colciencias relacionadas con el sector salud, 725. Se inicia el ciclo de capacitación de los investigadores de la red de laboratorio del Distrito.
*Semilleros de investigación:
Se realizó el documento informativo sobre el semillero de Investigaciones de la SDS, para incluirlo en el boletín semestral de investigaciones.
Verificación y revisión de los integrantes con los que actualmente cuenta el semillero. Se establece tres estrategias de (conocer los avances de cada proceso, revisión de quien puede dar asesoría y alianzas estratégicas para avances de cada proceso) para continuación con el proceso con las semillas durante los meses de julio, Agosto Y Septiembre. 
Realización y Ajuste del documento de acto administrativo para el funcionamiento del semillero, envió de este documento resolución de constitución del semillero al abogado de la Subsecretaria de planeación y gestión sectorial, para revisión y tramite con la Oficina jurídica de la SDS.
*Investigaciones para la salud:  
Se actualiza la tabla maestra de seguimiento a investigaciones de acuerdo a requerimientos de periodo de tiempo 2012 -2014 de la SDS y las ESE a 31 de julio de 2015. Se continua en el manejo del aplicativo web 2.0, para la sistematización interactiva de la TABLA MAESTRA de seguimiento a las investigaciones, que fue producto en el marco del Convenio 1426 del 2013 suscrito entre la SDS y la Fundación Universitaria de Ciencias de la salud (FUCS). Se sustentaron 17 proyectos de investigación que fueron convocados por Planeación Distrital, (actividad que terminó en el mes de mayo de 2015) para la convocatoria 001 de 2014, para acceder a recursos de regalías. Los resultados definitivos se darán a conocer en el mes de junio de 2015. Se inicia el proceso administrativo para análisis de 2 proyectos que presentaran el Hospital Engativá y el Hospital Nazareth para acceder a recursos de Colciencias para la convocatoria N° 711 para proyectos de ciencia, tecnología e innovación en Salud. Se inicia el proceso administrativo para análisis de 3 proyectos que accedieron a recursos de regalías, presentados  por la Secretaría de Salud (2) y uno (1) por la Universidad Nacional, para la convocatoria N° 001 de 2014.
 *Innovación: 
Dialogo con representantes del nodo de innovación social del Distrito Capital. Elaboración y envió de oficios y formato para reporte de innovaciones sociales, a las Empresas Sociales del Estado de la red adscrita. De igual manera se envió memorando y formato a las 5 subsecretarías de la Institución. Gestión para reunión de trabajo con los participantes en el proyecto de investigación “Estudio de las iniciativas y capacidades en Innovación Social para la salud en una E.S.E. Seguimiento a los requerimientos solicitados por los participantes en el proyecto de innovación social. Ajuste a documento portafolio 2014 que contiene la sistematización de las ideas innovadoras reportadas por los hospitales (10) de la red adscrita, acorde con el lineamiento dado. Se envió a la coordinadora del área. Consolidado de actas de trabajo relacionadas con centros de excelencia y visitas de referenciación entregadas para ubicación visible en carpeta institucional. Elaboración y envió de informe relacionado con el proceso y que contiene logros y dificultades, acorde con aplicativo y directriz dados. Lectura y envió de documentos a referente para visibilización en carpeta institucional, relacionados con el nuevo proceso Gestión del Conocimiento e innovación. Participación en reunión mensual con referentes de los Hospitales.
 *Comité de Ética para la Investigación en Salud:
Se convocó a las reuniones extraordinarias del CEIS de los días 2, 8 y 29 de julio de 2015, para el análisis de los proyectos de investigación, en el marco de la Convocatoria de Colciencias Nos. 712, 711, 715. 
Lectura, análisis y revisión de siete (7) proyectos de investigación presentados al CEIS para su evaluación ética, en el marco de la Convocatoria de Colciencias Nos. 712, 711, 715: 1) Impacto sobre la función neurológica de escolares por la exposición a plaguicidas en la localidad de Sumapaz, sustentado por la investigadora Andrea Moya, (Proyecto presentado por el Hospital Nazareth y la Universidad EAN. 2) Sistema de vigilancia epidemiológica ocupacional de  los trabajadores de la economía informal SIVISTRA, Nodo rural, sustentado por la investigadora Luzetty Chávez Bazzani, (Proyecto presentado por el Hospital Nazareth y la Universidad EAN. 3) Historia clínica integral en APIS con enfoque en determinantes de la salud (presentado por la Universidad El Bosque). 4) Descripción de la situación biopsicosocial actual de mujeres que fueron madres adolescentes y cuyo parto fue atendido en el Hospital Engativá durante el año 2010, presentado por la investigadora María del Pilar Angarita de Botero del Hospital Engativá. 5) Revisión de los ajustes del proyecto "Impacto sobre la capacidad cognitiva global de escolares por la exposición prenatal y posnatal a plaguicidas en la localidad de Sumapaz", realizados por los investigadores del Hospital Nazareth y la Universidad EAN. 6) Alcances de la Educación Alimentaria y Nutricional en la Atención Primaria de Salud, a la luz del contexto latinoamericano y 7) Condiciones Psicosociales Laborales del personal de una Secretaría de Salud. 
Elaboración de los conceptos éticos de los proyectos de investigación aprobados por el CEIS en las sesiones de los días 2, 8 y 29 de julio de 2015. Consecución de conferencistas y proceso de convocatoria para la realización del Panel La Reglamentación de la Eutanasia en Colombia, (16 de julio de 2015, Sala Magistral, Edificio Administrativo, 7:45 a.m. – 12:30 p.m.). Búsqueda y selección de lecturas, películas, documentales y noticias para el Panel La Reglamentación de la Eutanasia en Colombia del 16 de julio de 2015. Redacción de una nota informativa sobre la Red Distrital de Comités de Ética para la Investigación en salud, que dé cuenta de manera sintética del proceso para ser publicado en el Boletín de Investigaciones.
*Comité técnico de Investigaciones:
Se actualiza archivo que da cuenta del nombre de las investigaciones y su etapa para entrar al comité de investigaciones. 
Se realizó el comité de investigaciones del mes de julio de 2015 para avales a los proyectos: 1.- “Descripción de la situación biopsicosocial que fueron madres adolescentes y sus hijos cuyo parto fue atendido en el Hospital Engativá durante el año 2010 y 2.- “Impacto sobre la capacidad cognitiva global de escolares por la exposición prenatal y postnatal a plaguicidas en la localidad de Sumapaz”.
</t>
  </si>
  <si>
    <t>Total general</t>
  </si>
  <si>
    <t>EJE ESTRATEGICO DEL PLAN TERRITORIAL DE SALUD PARA BOGOTÁ 2012-2016: COMPONENTE DE PRESTACION Y DESARROLLO DE SERVICIOS</t>
  </si>
  <si>
    <t>PROYECTO DE INVERSIÓN DEL PLAN DE DESARROLLO BOGOTA HUMANA 2012-2016: CIUDAD SALUD</t>
  </si>
  <si>
    <t xml:space="preserve">Porcentaje de ESE en cumplimiento  de la normalización de sus equipamientos respecto del Plan Maestro de Equipamientos de Salud y de acuerdo al estudio de Factibilidad del proyecto Ciudad Salud Región.  
</t>
  </si>
  <si>
    <t>Reunion exploratoria entre la Secretaria Distrital de Salud y la Empresa de Renovacion Urbana el dia 16 de Julio para iniciar proceso de articulacion en un posible proceso de conciliacion entre la Empresa de Renovacion Urbana y el Consorcio Ciudad Salud
Presentacion de parte de la Secretaria Distrital de Salud a la Empresa de Renovacion Urbana acerca de los Criterios y expectativas alrededor del Proyecto Ciudad Salud, Jullio 21 en instalaciones de la SDS .</t>
  </si>
  <si>
    <t>La vinculación de la Secretaria General de la Alcaldía Mayor de Bogotá, con base en el Decreto 655 de 2011, que le otorga las funciones y competencias necesarias para lograr la liquidación de manera consensuada, debera ofrecer un panorama mas favorable respecto a la controversia juridica que enfrenta  a la Secretaria Distrital de Salud y la Empresa de Renovacion Urbana.
Vinculacion oficial de la Subdireccion Distrital de Defensa Judicial y Prevencion del Daño Antijuridico de la Alcaldia Mayor de Bogota en la busqueda de la solucion mas eficaz y util para la Secretaria Distrital de Salud y la Empresa de Renovacion Urbana.
Se realiza envio del Plan de Mejoramiento del Proyecto 879 Ciudad Salud a la oficina de Control Interno, el dia 24 de Abril de 2015, radicado No 2015IE11963.
Incorporacion del Proyecto Ciudad Salud, en el Plan Nacional de Desarrollo como Proyecto Visionario para Bogota, Distrito Capital.
A la fecha, y gracias a la gestion adelantada por la Secretaria Distrital de Salud y el apoyo de la Alcaldia Mayor de Bogota, se inicia exploracion de alternativa de solucion entre la Empresa de Renovacion Urbana y el Consorcio Ciudad Salud, con el fin de cesar las acciones de caracter juridico y alcanzar un acuerdo para lograr la finalizacion y entrega a satisfaccion del estudio de factibilidad del Proyecto Ciudad Salud Region, una decision definitiva se habra tomado hacia el mes de Agosto de 2015</t>
  </si>
  <si>
    <t xml:space="preserve">Ciudad Salud.
Resumen Ejecutivo de reunión de articulación con la Gerencia del Proyecto Anillo de Innovación, Universidad Nacional de Colombia respecto a la continuidad del Proyecto Ciudad Salud.Resumen Ejecutivo de reunión de articulación con la Dirección de Operaciones Estratégicas de la Secretaria Distrital de Planeación respecto a la continuidad de la Operación Estratégica Ciudad Salud.
Elaboración y Entrega de Informe Ejecutivo del Proyecto Ciudad Salud – Vigencia 2015 para la Dirección de Planeación Sectorial.
Elaboración y Entrega de presentación del proyecto Complejo Urbanístico  y de Innovación en Salud
Ciudad Salud – Hospital San Juan de Dios para su inclusión en el Plan Nacional de Desarrollo a la Dirección de Planeación Sectorial.
Observaciones Plan Especial de Manejo y Proteccion Conjunto Patrimonial Hospital San Juan de Dios e Instituto Materno Infantil ( Universidad Nacional de Colombia).
No se cuenta con resultados para el mes de Abril
La vinculacion de la Oficina del Daño Antijuridico de la Alcaldia Mayor de Bogota, permite vislumbrar un pronto desenlace a la controversia presente entre la SDS y la ERU.
</t>
  </si>
  <si>
    <t>La vinculacion oficial de la Subdireccion Distrital de Defensa Judicial y Prevencion del Daño Antijuridico de la Alcaldia Mayor de Bogota acorta el tiempo de resolucion de la controversia entre las partes, se espera resolver la situacion antes del mes de Agosto del año 2015</t>
  </si>
  <si>
    <t>NOTA : SE PRECISA QUE POR TRATARSE DE TRES METAS ASOCIADAS A LA FINALIZACION DEL ESTUDIO DE FACTIBILIDAD DEL PROYECTO CIUDAD SALUD, ESTAS SE PROPUSIERON DE MANERA PROSPECTIVA Y LA EJECUCION DE LAS MISMAS SE ASOCIA A LA FINALIZACION DEL ESTUDIO COMO UN TODO, SIN LA FINALIZACION A SATISFACCION DE LA FACTIBILIDAD, AUN SE CONSIDERAN DEPENDIENTES DE LOS RESULTADOS FINALES DEL MISMO.
En caso de lograrse una conciliacion para la recuperacion de los productos de la Consultoria asociados al componente en salud y zona franca en salud, tendra la SDS la obligacion de realizar una revision exhaustiva de los resultados y solicitar de manera oficial la correccion y ajuste de dichos componentes para lograr la validacion de los mismos, se espera pronuciamiento de la ERU antes finalizar el mes de Agosto del año 2015.</t>
  </si>
  <si>
    <t>e04o01m02</t>
  </si>
  <si>
    <t>e04o01m02-617</t>
  </si>
  <si>
    <t>02</t>
  </si>
  <si>
    <t xml:space="preserve">
Adoptar el modelo de Gestión y operación interinstitucional del proyecto Ciudad Salud Región
</t>
  </si>
  <si>
    <t>e04o01m03</t>
  </si>
  <si>
    <t>e04o01m03-617</t>
  </si>
  <si>
    <t>03</t>
  </si>
  <si>
    <t xml:space="preserve">
Consolidar a la red pública adscrita de Bogotá como socio estratégico de la puesta en marcha y operación del Clúster de Servicios de Salud – Ciudad Salud 
</t>
  </si>
  <si>
    <t xml:space="preserve">Porcentaje de gestion intrainstitucional para vincular a la red publica adscrita al proyecto Ciudad Salud
</t>
  </si>
  <si>
    <t>1 - RECURSOS PROPIOS (ENTIDADES TERRITORIALES)
SIN DESTINACIÓN ESPECFICA</t>
  </si>
  <si>
    <t>1 - RECURSOS PROPIOS (ENTIDADES TERRITORIALES)
CON DESTINACIÓN ESPECFICA</t>
  </si>
  <si>
    <t>2 - SISTEMA GENERAL DE PARTICIPACIONES
SIN DESTINACIÓN ESPECFICA</t>
  </si>
  <si>
    <t>2 - SISTEMA GENERAL DE PARTICIPACIONES
CON DESTINACIÓN ESPECFICA</t>
  </si>
  <si>
    <t>Reunion exploratoria entre la Secretaria Distrital de Salud y la Empresa de Renovacion Urbana el dia 16 de Julio para iniciar proceso de articulacion en un posible proceso de conciliacion entre la Empresa de Renovacion Urbana y el Consorcio Ciudad Salud
Presentacion de parte de la Secretaria Distrital de Salud a la Empresa de Renovacion Urbana acerca de los Criterios y expectativas alrededor del Proyecto Ciudad Salud, Julio 21 en instalaciones de la SDS . El acta respectiva sera enviada a la brevedad posible por parte de la Empresa de Renovacion Urbana</t>
  </si>
  <si>
    <t xml:space="preserve">
Adoptar el modelo de Gestión y operación interinstitucional del proyecto Ciudad Salud Región,
</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</si>
  <si>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Código:</t>
    </r>
    <r>
      <rPr>
        <sz val="9"/>
        <color indexed="8"/>
        <rFont val="Arial"/>
        <family val="2"/>
      </rPr>
      <t xml:space="preserve"> 114 - PLI - FT -  062 V.01</t>
    </r>
  </si>
  <si>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Código: </t>
    </r>
    <r>
      <rPr>
        <sz val="9"/>
        <color indexed="8"/>
        <rFont val="Arial"/>
        <family val="2"/>
      </rPr>
      <t>114 - PLI - FT -  062 V.01</t>
    </r>
  </si>
  <si>
    <t xml:space="preserve">EJE ESTRATÉGICO DEL PLAN DE DESARROLLO BOGOTA HUMANA 2012-2016: UNA BOGOTA EN DEFENSA Y FORTALECIMIENTO DE LO PUBLICO </t>
  </si>
  <si>
    <t>EJE ESTRATÉGICO DEL PLAN TERRITORIAL DE SALUD PARA BOGOTÁ 2012-2016: COMPONENTE DE GOBERNANZA Y RECTORÍA</t>
  </si>
  <si>
    <t>PROGRAMA DEL PLAN DE DESARROLLO BOGOTA HUMANA 2012-2016:  BOGOTA DECIDE Y PROTEGE EL DERECHO FUNDAMENTAL A LA SALUD PUBLICA</t>
  </si>
  <si>
    <t>PROYECTO DE INVERSIÓN DEL PLAN DE DESARROLLO BOGOTA HUMANA 2012-2016:  FORTALECIMIENTO DE LA GESTIÓN Y PLANEACIÓN PARA LA SALUD</t>
  </si>
  <si>
    <t>VALOR APROPIACIÓN</t>
  </si>
  <si>
    <t>DIFICULTADES</t>
  </si>
  <si>
    <t>TIPO DE POBLACIÓN</t>
  </si>
  <si>
    <t xml:space="preserve">Porcentaje de  construcción e implementación del Sistema integral de análisis y evaluación de políticas de salud
</t>
  </si>
  <si>
    <r>
      <t xml:space="preserve">JULIO 2015
</t>
    </r>
    <r>
      <rPr>
        <sz val="9"/>
        <color indexed="8"/>
        <rFont val="Arial Narrow"/>
        <family val="2"/>
      </rPr>
      <t>1) Se hizo revisión de los procedimientos del proceso políticas públicas para la calidad de vida y la salud (formulación, implementación y evaluación) y se consolidó en un único procedimiento llamado “Desarrollo de políticas  públicas para la calidad de vida y la salud”.
2) De manera conjunta con la Subsecretaría de Salud Pública se asiste a las mesas de trabajo [clasificadas por Derechos de NNA], del 8 al 17 de julio, convocadas por la Secretaría Distrital de Integración Social para el análisis de los 36 indicadores que dan cuenta de la gestión de la SDS para la implementación de la Política de Infancia y Adolescencia y los 10 indicadores de Juventud.
3) Se envió a los referentes del grupo interdirecciones de políticas públicas, a los referentes normativos, correo informando de proyectos de ley de afiliación al SGSSS y unificación de la reglamentación del SGSSS.
4) Se envió a referente de SAN proyectos normativos relacionados con desnutrición y sodio para su revisión y aportes. Se envió a referentes de la política de mujer y género Ley 1761 de 2015 relacionada con feminicidio.
5) Además se envió a referente jurídico de la Dirección de Planeación y gestión sectorial estas normas.
6) De acuerdo con la información que debe presentarse en el Módulo 1 del informe de Rendición de cuentas Infancia y Adolescencia,  se realizan, las observaciones de matriz de gasto público y social del sector salud para la implementación de la Política Pública de Infancia Adolescencia para los años 2012 a 2014 y proyección presupuestal 2015-2016, remitidas por la Secretaría de Hacienda (Matriz de gasto público y social del sector salud para la implementación de la Política Pública de Infancia Adolescencia 2012 a 2014 y proyección presupuestal 2015-2016, con ajustes  remitida a la Secretaría de Hacienda)</t>
    </r>
  </si>
  <si>
    <r>
      <rPr>
        <b/>
        <sz val="9"/>
        <color indexed="8"/>
        <rFont val="Arial Narrow"/>
        <family val="2"/>
      </rPr>
      <t>HASTA JULIO 2015:</t>
    </r>
    <r>
      <rPr>
        <sz val="9"/>
        <color indexed="8"/>
        <rFont val="Arial Narrow"/>
        <family val="2"/>
      </rPr>
      <t xml:space="preserve">
1) Se incorporó en el Sistema de información de Procesos Automáticos -SIPA de la Dirección de Diversidad Sexual de la Secretaría Distrital de Planeación, seguimiento al último trimestre del año 2014.
2) De manera conjunta con los profesionales de la Subsecretaría de Salud Pública, se construye el documento de lineamientos para la vigencia 2015, dirigidos a los equipos territoriales para la implementación del Programa de Atención Integral a la Primera Infancia: “Ser feliz Creciendo Feliz”. 
3) Se realiza de manera conjunta con los profesionales de vigilancia de Salud Pública, la revisión y aportes al documento “Análisis situacional de Política de Infancia y Adolescencia”, que se está construyendo a nivel distrital, con el fin de evaluar y hacer seguimiento de la implementación de la Política de Infancia y adolescencia en el Distrito.
4) Se revisa y retroalimenta la información que entrega la Secretaría de Integración Social respecto a los indicadores que dan cuenta de la situación de salud de los niños, niñas y adolescentes desde el año 2008 a 2014, los cuales hacen parte del soporte del documento “Análisis situacional de Política de Infancia y Adolescencia”.
5) Se realiza y entrega para revisión de Directora de Planeación Sectorial el Informe de Gestión y Cierre Presupuestal de Infancia y Adolescencia correspondiente a la vigencia 2014.
6) Se logra realizar matriz de seguimiento a la Política Pública de Infancia Adolescencia 2012 a 2014 y proyección presupuestal 2015-2016, entregada a la Secretaría Distrital de Planeación.
7) Se logra realizar Informe de inversión y gestión desarrollada por el Sector Salud para los niños y niñas de 0-5 años, en el marco del Programa de Atención Integral a la Primera Infancia 2012-2014.
8) Se logra realizar documento y presentación para el Debate sobre atención [inversión y gestión] Primera Infancia en el Concejo de Bogotá.
9) Documento e Informe sobre la Gestión en la Inversión del Sector salud en la Primera Infancia Vigencias 2012-2014, para dar respuesta a la Proposición 127 emitida por el Concejo de Bogotá con radicado N° 2015ER25432-O1 del 30 de marzo de 2015.
10) Documento de Análisis de oportunidades, amenazas, debilidades e incidencias en la norma relacionada con salud. 
11) Propuesta del contenido del boletín de comunicación
12) Actualización de Inventario con fecha al mes de mayo en Isolución, listo para dar cuenta a los entes de control y apoyar el seguimiento interno
13) Actualización del normograma del proceso de Políticas en Salud.
14) Consolidación de 36 indicadores que dan cuenta de la gestión de la SDS para la implementación de la Política de Infancia y Adolescencia y los 10 indicadores de Juventud. Se presenta el comportamiento de dicho indicadores para las vigencias 2012-2014 así como el análisis de su comportamiento.
15)De acuerdo con la información que debe presentarse en el Módulo 1 del informe de Rendición de cuentas Infancia y Adolescencia,  se logra realizar las observaciones de matriz de gasto público y social del sector salud para la implementación de la Política Pública de Infancia Adolescencia para los años 2012 a 2014 y proyección presupuestal 2015-2016</t>
    </r>
  </si>
  <si>
    <r>
      <rPr>
        <b/>
        <sz val="9"/>
        <color indexed="8"/>
        <rFont val="Arial Narrow"/>
        <family val="2"/>
      </rPr>
      <t>HASTA JULIO 2015:</t>
    </r>
    <r>
      <rPr>
        <sz val="9"/>
        <color indexed="8"/>
        <rFont val="Arial Narrow"/>
        <family val="2"/>
      </rPr>
      <t xml:space="preserve">
1)  Incorporado en el Sistema de información de Procesos Automáticos -SIPA de la Dirección de Diversidad Sexual de la Secretaría Distrital de Planeación, seguimiento al último trimestre del año 2014.
2) Documento “Lineamientos 2015 para la implementación del Programa de Atención Integral a la Primera Infancia: “Ser feliz Creciendo Feliz”, dirigido a los equipos territoriales.
3) Documento “Análisis situacional de Política de Infancia y Adolescencia”, revisado y entregado a la Secretaría de Integración Social.
4) Indicadores de la situación de salud de los niños, niñas y adolescentes 2008-2014.
5)  Informe de gestión y cierre presupuestal de infancia y adolescencia correspondiente a la vigencia 2014
6) Matriz de seguimiento a la Política Pública de Infancia Adolescencia 2012 a 2014 y proyección presupuestal 2015-2016, entregada a la SDP.
7) Documento Informe de inversión y gestión desarrollada por el Sector Salud para los niños y niñas de 0-5 años, en el marco del Programa de Atención Integral a la Primera Infancia 2012-2014.
8) Documento y presentación para el Debate sobre atención [inversión y gestión] Primera Infancia en el Concejo de Bogotá.
9) Informe sobre la gestión en la inversión del sector salud en la primera infancia vigencias 2012-2014, para dar respuesta a la Proposición 127 emitida por el Concejo de Bogotá con No de radicado 2015ER25432-O1 del 30 de marzo de 2015.
10) Documento con las observaciones realizadas a las filas 1,2, 5, 8, 9, 11, 14, 15 y 16 del anexo enviado por la Secretaría Distrital de Salud y evaluado por el Ministerio de Salud y Protección Social.
11) Oportunidad en la consulta e implementación de las normas del proceso de Políticas en Salud.
12) La SDS cuenta con 36 indicadores que dan cuenta de la gestión de la implementación de la Política de Infancia y Adolescencia y los 10 indicadores de Juventud. 
13) Matriz de gasto público y social del sector salud para la implementación de la Política Pública de Infancia Adolescencia 2012 a 2014 y proyección presupuestal 2015-2016, con ajustes  remitida a la Secretaría de Hacienda
</t>
    </r>
  </si>
  <si>
    <t>DESPLAZADOS INDÍGENAS</t>
  </si>
  <si>
    <t>INDÍGENAS</t>
  </si>
  <si>
    <t>TOTAL DE LA POBLACIÓN</t>
  </si>
  <si>
    <t>POBLACIÓN VINCULADA</t>
  </si>
  <si>
    <t>Numero de planes locales armonizados a las políticas públicas de salud.
Número de planes locales gestionados</t>
  </si>
  <si>
    <r>
      <t>JULIO 2015</t>
    </r>
    <r>
      <rPr>
        <sz val="9"/>
        <color indexed="8"/>
        <rFont val="Arial Narrow"/>
        <family val="2"/>
      </rPr>
      <t xml:space="preserve">
Se realizó asesoría y asistencia técnica en seguimiento de proyectos de inversión local de salud a las localidades en los proyectos que se relacionan a continuación:
Ciudad Bolivar 2014: promoción y Prevención sensibilización en derechos sexuales y reproductivos con los y las adolescentes y jóvenes de la localidad 19 de Ciudad  Bolivar; Atención a personas en condición de discapacidad física y cognitiva de la localidad 19 de Ciudad Bolivar.
Usme: componente  de ayudas técnicas en salud.
Mártires: Se realizan mesas de trabajo conjunto para adelantar la asesoría y asistencia técnica en el proceso de formulación de proyectos con recursos 2015 así: Proyecto No. 970  PGI: Ambiente Saludable.  Componente:   Control de plagas y vectores y "Proyecto No. 967 PGI: Promoción y prevención de la salud. Componentes: 1) Entrega de Ayudas Técnicas; 2) Salud Oral; 3) Ruta de la salud".
Rafael Uribe Uribe: Se realizan mesas de trabajo conjunto para adelantar la asesoría y asistencia técnica en el proceso de formulación de proyectos con recursos 2015 así: Proyecto No. 1133 Fortalecimiento integral de los servicios de salud. Componente: Banco de Ayudas Técnicas
Santa Fe:  Se realizan mesas de trabajo conjunto para adelantar la asesoría y asistencia técnica en el proceso de formulación de proyectos con recursos 2015 así: Actualización de los Anexos Técnicos para Adicionar recursos de la vigencia 2015 y Prorrogar los Convenios Interadministrativos 075 y 076-2014 que implementan el Proyecto No. 1149 Santafé con salud para todos y todas. Componentes: Rutas Saludables y Acciones integrales en Salud respectivamente.</t>
    </r>
  </si>
  <si>
    <r>
      <rPr>
        <b/>
        <sz val="9"/>
        <rFont val="Arial Narrow"/>
        <family val="2"/>
      </rPr>
      <t>HASTA JULIO 2015</t>
    </r>
    <r>
      <rPr>
        <b/>
        <sz val="9"/>
        <color indexed="8"/>
        <rFont val="Arial Narrow"/>
        <family val="2"/>
      </rPr>
      <t xml:space="preserve">
</t>
    </r>
    <r>
      <rPr>
        <sz val="9"/>
        <color indexed="8"/>
        <rFont val="Arial Narrow"/>
        <family val="2"/>
      </rPr>
      <t>Ciudad Bolivar: En la fase de alistamiento se adelantó proceso de perfeccionamiento con la Fundación un Nuevo Amanecer, quedando legalizado el día 02 de junio de 2015. Presentación pública del proyecto el día 25 de Junio de 2015.
Atención a personas en condición de discapacidad física y cognitiva de la localidad 19 de Ciudad Bolivar: El 13 de Julio se convocó por parte de la alcaldía local de Ciudad Bolivar a reunión de empalme entre el hospital de vista hermosa quien ejecutara el convenio de vigencia 2015 y el hospital de sur quien se encuentra ejecutando el proyecto vigencia 2014, para establecer acuerdos frente a las zonas a intervenir por cada hospital, se determinó a que usuarios de que vigencias se les realizara los seguimientos contemplados en cada convenio, para tal fin el hospital de vista hermosa hará entrega de la base de datos de los usuarios a los que le fue entregada la ayuda técnica en la vigencia 2013 que no se le hizo primer seguimiento para que el hospital del sur los realice.
El 14 de Julio se realizó la presentación del proyecto ante la JAL
Se realizaron 31 horas de socialización del proyecto, se realizaron dos sesiones de sensibilización a los usuarios y sus cuidadores.
Se adelantaron jornadas de inscripción de usuarios, donde se inscribieron 136 para banco de ayudas, 127 para hipoterapia y 121 para hidroterapia.
Se adelantaron 26 visitas de vulnerabilidad.
Promoción y Prevención sensibilización en derechos sexuales y reproductivos con los y las adolescentes y jóvenes de la localidad 19 de Ciudad  Bolivar: Para el mes de Julio se realizaron 22 acercamientos de socialización del proyecto en diferentes instituciones pertenecientes a la localidad de Ciudad Bolivar, tanto del sector público como del sector privado, con la finalidad de dar a conocer el componente de sensibilización a estudiantes y la programación de charlas educativas dirigidas a estudiantes.
Se realizaron 91 horas de sensibilización con los estudiantes, asesorías en salud mental /salud sexual y reproductiva.
Se realizaron acercamientos para vinculación de madres gestantes y lactantes, estableciendo los horarios de las sesiones y duración de los mismos.
En reunión convocada por la alcaldía Local de Ciudad Bolivar, en donde participaron el hospital de vista hermosa y el hospital del sur se establecieron acuerdos frente a la posibilidad de contar con un espacio en la reunión mensual de salud sexual y reproductiva del hospital vista hermosa, para canalizar usuarias al proyecto y realizar retroalimentación de los casos, la coordinadora de salud pública se compromete a enviar fecha, hora y asistió de reuniones.
Usme: componente  de ayudas técnicas: a la fecha se han entregado 260 de las 400 programadas. Una vez se cumpla con la meta de usuarios y si aún queda rubro se tendrá en cuenta los usuarios priorizados en la lista de espera.
La supervisión refiere que el proceso de entrega esta precedido de un ejercicio de verificación técnica de las ayudas y los comités realizados con el acompañamiento del consejo local de discapacidad, veeduría, alcaldía y hospital.
Bosa: Se realiza presentación pública del Convenio Marco Interadministrativo No. 152  de 2014 en sus 4 Derivados: Derivado 1: Ayudas Técnicas, Derivado 2: Salud sexual y reproductiva, Derivado 3: Prevención consumo de Sustancias Psicoactivas. Derivado 4: Dotación Gimnasio de Estimulación.
Puente Aranda: Componente de Ayudas Técnicas: solicita 4 meses de prórroga para el desarrollo de las actividades.  Componente de Salud Oral: Se reinicia el componente de talleres de hábitos saludables para las instituciones educativas.
Fontibón: Componente de Ámbito Escolar: Se logra la ejecución de las actividades de grupos al 100%, queda pendiente realizar tres actividades Saludtekas, Entregas de kits de salud oral y sensibilizar 24 docentes.  Componente de control de Vectores: Se finaliza ejecución de actividades al 100%. Componente de Ayudas Técnicas: Se realiza comité técnico de aprobación con un total de 200 beneficiarios y 201 ayudas técnicas aprobadas.
Kennedy: En el Componente de Promoción y prevención se realiza un ajuste el subcomponente de ayudas técnicas en la actividad de mantenimientos que pasa a compra de ayudas técnicas para ampliar cobertura.  Se finalizan las 16 emisiones de radio pendientes.  Se realiza Adición para vigencia 2015 solo a esta subcomponente.  Componente de Control de vectores. Se finalizan las actividades con 18 focos y 107.000 metros cuadrados.
Usaquén: Componente de Promoción y Prevención: Se logra finalizar las consultas de nutrición y una sobre ejecución entregas de los kits.    Componente de Ayudas Técnicas: A la fecha se han otorgado 154 ayudas Técnicas a 107 beneficiarios.  
Mártires:  Verificación e incorporación de ajustes necesarios dentro de los Anexos Técnicos de los proyectos de inversión local en salud presentados y radicados en lo relacionado a costos y lineamientos estipulados por la Secretaria Distrital de Salud para la vigencia 2015.
Rafael Uribe: Ampliación de cobertura para el Banco de Ayudas Técnicas con recursos de vigencia 2015 en cumplimiento con meta de Plan de Desarrollo Local.
Santa Fe: Se incorporan dentro de los contenidos de Anexos Técnicos presentados por el Fondo de Desarrollo Local, estrategias de articulación con los procesos adelantados por el Hospital Centro Oriente a través del Plan de Intervenciones Colectivas, especialmente en lo relacionado con Rutas saludables, y los componentes de vacunación a niños menores de 5 años y el componente de suministro de métodos anticonceptivos no POS  en Salud sexual y reproductiva del Proyecto Integral.</t>
    </r>
  </si>
  <si>
    <r>
      <rPr>
        <b/>
        <sz val="9"/>
        <color indexed="10"/>
        <rFont val="Arial Narrow"/>
        <family val="2"/>
      </rPr>
      <t xml:space="preserve"> </t>
    </r>
    <r>
      <rPr>
        <b/>
        <sz val="9"/>
        <color indexed="8"/>
        <rFont val="Arial Narrow"/>
        <family val="2"/>
      </rPr>
      <t xml:space="preserve">HASTA JULIO 2015
</t>
    </r>
    <r>
      <rPr>
        <sz val="9"/>
        <color indexed="8"/>
        <rFont val="Arial Narrow"/>
        <family val="2"/>
      </rPr>
      <t>Ciudad Bolivar: 2014 Promoción y Prevención sensibilización en derechos sexuales y reproductivos con los y las adolescentes y jóvenes de la localidad 19 de Ciudad  Bolivar lleva un 14,12% en avance físico y 20,64% en financiero.
Atención a personas en condición de discapacidad física y cognitiva de la localidad 19 de Ciudad Bolivar tiene un avance de 4,57% en físico y 3,26% en financiero.
Usme: 2014 Banco de ayudas técnicas en programático el 76% y financiera 55%. Puente Aranda:    Componente de Salud Oral: El contrato de suministros de insumos se ejecutó al 100%.  CIA 151/14 Salud Oral. Ejecución Física: 70%. CIA 049/14 Ayudas Técnicas: Ejecución Física acumulada a 30%. Kennedy: CIA 126/2013 Adición vigencia 2014. Componente PyP: Ejecución  Física 65%.  CIA 127/2014. Componente de control de vectores: Ejecución física acumulada 100%. Fontibón: CIA 181/14: Componente Ámbito Escolar: Ejecución física acumulada 48,94% CIA 179/14. Componente de Control de vectores: Ejecución física acumulada 100%, CIA 177/14. Componente de Salud sexual y reproductiva: Ejecución física acumulada 67,81%. CIA 178/14. Componente Ayudas Técnicas: Ejecución física acumulada 69,45% Usaquén: CIA 087/14. Componente Promoción y Prevención. Ejecución Física: 68,7%. CIA 086/14. Componente Ayudas Técnicas. Ejecución Física: 32,04%.  Se realizó asesoría y asistencia técnica en seguimiento, y monitoreo de proyectos de inversión local de salud a las localidades en los proyectos vigencia 2014 en ejecución 2015 que se relacionan a continuación:
Santa Fe: Ortodoncia (Vigencia 2014: 59,7% - vigencia 2015: 1,71%), Banco de Ayudas Técnicas (Vigencia: 2014 91,73% - vigencia 2015: 7,56% ) Ruta Saludable (63,32%), Promoción y prevención (49,45%); Candelaria: Tenencia de mascotas (46,64%), Banco de Ayudas Técnicas (90,28%),  Promoción y Prevención (80,85%), Hidroterapia e hipoterapia (7%);  Rafael Uribe Uribe Salud Oral persona adulta (37%),  Banco de Ayudas Técnicas (18,5%), Antonio Nariño:  Salud Sexual y Reproductiva (66%), Salud Oral (54%), Salud Mental (70%)  Banco de Ayudas Técnicas (52%)  Mártires Proyecto integral que incluye: Banco de Ayudas técnicas, Vacunación No POS, Salud oral, Salud Sexual, Programas de atención y formación sexual y reproductiva Prevención de consumo de SPA y Jornadas de esterilización, vacunación, identificación y adopción de caninos y felinos 14%. Teusaquillo Banco de ayudas técnicas (87%.), Prácticas Alternativas para persona mayor (54%)</t>
    </r>
  </si>
  <si>
    <t xml:space="preserve">La Localidad de Bosa solicita acompañamiento Técnico al desarrollo de la Vigencia 2014 en el componente de Prevención del consumo de Psicoactivas y Salud Sexual y Reproductiva aunque no se hizo solicitud formal del concepto Técnico a dos componentes.
Por dificultades de contratación en los procesos llevados acabo por los Ejecutores (ESE locales de la Red Suroccidente y Usaquén)  los tiempos de ejecución son cortos para el cumplimiento y se hace nesario solicitudes de prórrogas en algunos componentes.
En las localidades de Santa Fe, y Candelaria especialmente se realizan adiciones (con recursos de la vigencia 2015 y prorrogas de los convenios suscritos para la ejecución de vigencia 2014, por lo que algunas interventorías deciden presentar el  reporte sobre el avance de ejecución porcentual de manera independiente la ejecución del convenio inicial y la ejecución de las adiciones.  Se recomienda a los Fondos de Desarrollo Local realizar ajustes y reprogramación físico financiera teniendo en cuenta las actividades pendientes por ejecutar del convenio inicial y la nueva adición recursos, reportando un solo dato. 
</t>
  </si>
  <si>
    <t xml:space="preserve">porcentaje de ejecución presupuestal
</t>
  </si>
  <si>
    <r>
      <t xml:space="preserve">JULIO 2015
</t>
    </r>
    <r>
      <rPr>
        <sz val="9"/>
        <color indexed="8"/>
        <rFont val="Arial Narrow"/>
        <family val="2"/>
      </rPr>
      <t>1) Se asistió a reunión para la socialización de la Directiva 009 de 2015, mediante la cual se deben realizar los informes de entrega de administración y construcción del diagnóstico del sector.
2) Preparar y consolidar la información financiera necesaria para la elaboración de la proyección del presupuesto para el año 2016 del FFDS teniendo en cuenta la normatividad vigente en cada caso, utilizando las diferentes herramientas necesarias para su presentación y aprobación
3) Se elaboró el Plan Financiero Distrital para enviarlo el día 17 de julio a SHD- se ha dado cumplimiento a lo establecido en la circular conjunta 002 de 2015.
4) Se acompañó y se participó, junto con la Dirección de Calidad de Servicios de salud de la Subsecretaria de Servicios de Salud y aseguramiento, en la primera parte de la capacitación sobre indicadores de reporte de 2193, derivados de la  Resolución 1446 de 2006, a los responsables de Calidad de las ESE de la red pública distrital adscrita. Esta capacitación se realizó con miras a evidenciar y mejorar el manejo de la información que se reporta a la Superintendencia Nacional de Salud y al Ministerio de salud y protección Social, previa validación por parte de la Dirección de Análisis de  Entidades Públicas Distritales del Sector Salud de la SDS.</t>
    </r>
  </si>
  <si>
    <r>
      <t xml:space="preserve">HASTA JULIO 2015
</t>
    </r>
    <r>
      <rPr>
        <sz val="9"/>
        <color indexed="8"/>
        <rFont val="Arial Narrow"/>
        <family val="2"/>
      </rPr>
      <t>1. Se logra realizar el documento análisis de la ejecución del presupuesto por localidades con corte a diciembre 31 de 2014.
2. Se logró elaborar el documento Informe Ejecutivo de Seguimiento al Plan Distrital de Salud 2012-2016 “Análisis de la Gestión Segundo Semestre de 2014 del POA” en el marco del Plan de Desarrollo “Bogotá Humana” 2012 -2016.
3. Se logró realizar el seguimiento mensual al Presupuesto Orientado a Resultados - POR con corte a Diciembre 31 de 2014 de la Secretaría Distal de Salud y del Fondo Financiero Distrital.
4. Se logra consolidar la información de costos correspondiente al tercer trimestre del 2014, conforme a lo establecido en la Resolución DDC -0002 de 2014.
5. Se logra elaborar un informe trimestral teniendo en cuenta los centros de costos, por red, por niveles. 
6. Se logran cuadros comparativos entre el tercer trimestre de 2013 y el tercer trimestre de 2014, sobre el total de costos por ESE, elementos del costo Unidades de negocio por nivel y por red. Se analiza la información y se hace entrega de un primer informe
7. Se logra actualizar el formato 2 de los anexos del Plan Financiero Plurianual Territorial con la ejecución definitiva del presupuesto 2014 y el presupuesto definitivo 2015.
8. Se elabora la presentación con el análisis de la inversión periodo 2012-2014 del presupuesto de las metas de los proyectos de inversión del Fondo Financiero Distrital de Salud que están asociadas a garantizar la prestación de los servicios de salud a los niños(as) menores de cinco años.
9. Se logra elaborar el informe del seguimiento a la inversión de los recursos asignados a marzo 31 de 2015 para garantizar la prestación de los servicios de salud a la población desplazada y/o víctima del conflicto armado.
10. Se logra obtener la información relacionada con costos en los Planes de Saneamiento Fiscal y Financiero, se revisa el Pacto de Mejoramiento de la Contraloría y se espera que las 22 Empresas abran 95 acciones correctivas en coordinación con las Oficinas de Calidad, derivadas de los resultados del informe de 2014, con las variables costos y facturación. 
11. Se logra estructurar la metodología con base en la prueba piloto del levantamiento de 160 Costos Unitarios CUPS. Se circularizaran los 160 Costos Unitarios CUPS a las Empresas Sociales el Estado para su utilización.
12. Actualización de los anexos de rentas departamentales y esfuerzo propio para las vigencias 2014 y 2015.
13. Actualización del documento de redes del FFDS con la información financiera correspondiente a los periodos 2013 a 2015.
14. Se definieron los lineamientos para la elaboración del Anteproyecto de presupuesto 2016.
15. 15 Actualización del Plan Financiero Plurianual Territorial
16. Se logra preparar y consolidar la información financiera necesaria para la elaboración de la proyección del presupuesto para el año 2016 del FFDS teniendo en cuenta la normatividad vigente en cada caso, utilizando las diferentes herramientas necesarias para su presentación y aprobación
17. Se logra elaborar el Plan Financiero Distrital para enviarlo el día 17 de julio a SHD- se ha dado cumplimiento a lo establecido en la circular conjunta 002 de 2015.</t>
    </r>
  </si>
  <si>
    <r>
      <t xml:space="preserve">HASTA JULIO
</t>
    </r>
    <r>
      <rPr>
        <sz val="9"/>
        <color indexed="8"/>
        <rFont val="Arial Narrow"/>
        <family val="2"/>
      </rPr>
      <t>1. Documento análisis de la ejecución del presupuesto por localidades con corte a diciembre 31 de 2014.
2. Documento Informe Ejecutivo de Seguimiento al Plan Distrital de Salud 2012-2016 “Análisis de la Gestión Segundo Semestre de 2014 del POA” en el marco del Plan de Desarrollo “Bogotá Humana” 2012 -2016.
3. Matriz de seguimiento mensual al Presupuesto Orientado a Resultados - POR con corte a Diciembre 31 de 2014 de la Secretaría Distal de Salud y del Fondo Financiero Distrital y datos incorporados en el aplicativo PREDIS de Hacienda Distrital.
4. información de costos correspondiente al tercer trimestre del 2014, en la matriz de procedimientos CUPS; conforme a lo establecido en la Resolución DDC -0002 de 2014.
5. Informe trimestral teniendo en cuenta los centros de costos, por red, por niveles
6. Cuadros comparativos entre el tercer trimestre de 2013 y el tercer trimestre de 2014, sobre el total de costos por ESE, elementos del costo Unidades de negocio por nivel y por red. Se analiza la información y se hace entrega de un primer informe
7. Formato 2 de los anexos del Plan Financiero Plurianual Territorial con la ejecución definitiva del presupuesto 2014 y el presupuesto definitivo 2015 actualizado.
8. Presentación con el análisis de la inversión periodo 2012-2014 del presupuesto de las metas de los proyectos de inversión del Fondo Financiero Distrital de Salud que están asociadas a garantizar la prestación de los servicios de salud a los niños(as) menores de cinco años.
9. Metodología estructurada con base en la prueba piloto del levantamiento de 160 Costos Unitarios CUPS. Se circularizaran los 160 Costos Unitarios CUPS a las Empresas Sociales el Estado para su utilización.
10. Estandarización de conceptos para la construcción del anteproyecto 2016
11. Seguimiento y evaluación de la información financiera del REDES del FFDS.
12. La SDS cuenta con el Plan Financiero Plurianual Territorial actualizado a Junio 2015.
13. Plan Financiero Distrital enviado el día 17 de julio a SHD- se ha dado cumplimiento a lo establecido en la circular conjunta 002 de 2015.</t>
    </r>
  </si>
  <si>
    <t>e04o02m01</t>
  </si>
  <si>
    <t>e04o02m01-617</t>
  </si>
  <si>
    <t>Número de planes de largo mediano y corto plazo formulados e implementados</t>
  </si>
  <si>
    <r>
      <t xml:space="preserve">
JULIO 2015
</t>
    </r>
    <r>
      <rPr>
        <sz val="9"/>
        <rFont val="Arial Narrow"/>
        <family val="2"/>
      </rPr>
      <t xml:space="preserve">**Asesoría técnica a las EAPB en el desarrollo de las acciones que le aportan al Plan Territorial de Salud por medio de las mesas de aseguradoras que se llevan cabo de forma mensual.
*Preparación de las asesorías técnicas para concertar el aporte de las EAPB al Plan territorial de salud.
*Se inicia la construcción del "Libro Blanco"
*Se revisó el seguimiento técnico financiero de los 18 proyectos de inversión del Fondo Financiero Distrital de Salud con corte a junio 30 de 2015
*Preparación de Insumos para la elaboración y ajuste al documento de base de evaluación metas Plan de Desarrollo preliminar Balance de resultados 2012-2014 del mes de Mayo, con énfasis en las metas del PIC (que incluye los Proyectos de Inversión 869- Salud Para el Buen Vivir y el 885- Salud Ambiental Junio) (Documento Preliminar de información de Resultados)
*Revisión, análisis del cumplimiento de las metas del  Proyecto 885-Salud Ambiental  del mes de Junio; reunión con delegados de Planeación Distrital y del Eje 2 Hernando Maldonado, acuerdos de gestión bajo lo normado en la directiva 009 de 2015 Junio.
*Cumplimiento a los lineamientos para el informe de cierre, el que deberá contener el informe general de la gestión y el balance de las metas Plan de Desarrollo 
*1. Durante el mes de julio, se realizó la siguiente reunión con los Hospitales de la Red Norte, para el seguimiento al PBIS 2014-2015:
a. El 6 de julio, se realizó una reunión con los Hospitales Simón Bolívar III Nivel, Usme I Nivel, Tunjuelito II Nivel. Con el fin de presenta los lineamientos generales para la elaboración del Estudio de factibilidad de los proyectos de inversión que hacen parte del  Plan Bienal de Inversiones en Salud para Bogotá D.C.  2014-2015.
b. El 13 de julio, se realizó reunión con el Hospital Simón Bolívar, para el apoyo técnico para la elaboración del Estudio de factibilidad del proyecto de Inversión “Construcción y Dotación de la Nueva Torre Hospital Simón Bolívar III Nivel”.
* Se evaluaron 4 proyectos y se inscribieron 2
*. Durante el mes de julio,  se realizó un análisis de las líneas de inversión para el sector salud de las Localidades, en el marco de la Directiva No. 5 2. Se realizó y se ajustó el seguimiento de los recursos ejecutados por parte de los Fondos de Desarrollo Local, con cifras premilitares con corte al 30 de junio de 2015, donde del total de los recursos asignados a los Fondos de Desarrollo Local FDL de la 20 Localidades del Distrito $675.742.683.722, se han ejecutado un total de $153.752.567.571 (22.75%) y se han realizado giros por valor de $16.726.348.183, que equivalen a tal sólo el 2.5%, del total. 
De los recursos asignados por parte de los Fondos de Desarrollo Local FDL, estos han destinado recursos de inversión para la ejecución a actividades en las líneas de inversión en salud contempladas en el Marco de la Directiva 005 de 2012, donde para la vigencia 2015, con corte 30 de junio se tienen destinados para el Sector Salud un total de $10.066.362.406, presentándose una disminución de $955.816.594, con respecto al mes de mayo de 2015.
Con corte al 30 de junio de 2015, los 20 Fondos de Desarrollo Local han realizado compromisos por valor de $667.302.359, para un nivel de ejecución de tan solo el 6,6%%. Se han realizado únicamente giros por valor de $119.574.435, que equivale al 1.2% de los compromisos realizados al 30 de junio de 2015. 
*Se consolida, revisa, analiza y se envía a la Alta consejería para las victimas el informe RUSICST, FUT e informe narrativo II Trimestre de 2015, de acuerdo a los tiempos establecidos, (Informe RUSICST, FUT e informe narrativo II Trimestre de 2015)
*Revisión y análisis de los indicadores de gestión del sector salud con la Alta Consejería.
*Presentación de las sugerencias de cambio  de los indicadores propuestos por la Alta Consejería
*Revisar y consolidar el seguimiento a la inversión con corte a junio 30 del 2015,  del presupuesto asignado para garantizar la prestación de los  servicios de salud a la población  desplazada y/o víctima del conflicto armado; en el marco del Plan de Desarrollo “Bogotá Humana” 2012-2016. 
*Elaborar documento análisis situación del sector salud en Bogotá D. C. y prospectivas periodo 2016-2020
*Elaborar el análisis comparativo 2014/2015 con corte a marzo 31 del presupuesto de gastos de funcionamiento e inversión  asignado y ejecutado 
*Realizar el seguimiento mensual al  Presupuesto Orientado a Resultados - POR con corte a Junio 30 del  2015 de la Secretaría Distrital de Salud y del Fondo Financiero Distrital.  
*Reunión con la referente de desnutrición en menores de cinco años de la subdirección de acciones colectivas para revisar y actualizar el documento de desnutrición, definiendo criterios de salidas de información para el seguimiento a este evento.  
*Reunión con referente de acciones colectivas  salud para definir los criterios de actualización del documento de desnutrición en menores de cinco años.
*Actualización de matriz serie de tiempo del comportamiento de la mortalidad evitable en el distrito capital. La serie de tiempo se presenta por localidad en el periodo 2001 a 2014.
*Revisión final del documento de informe definitivo del Acuerdo 489 de 2012 con el análisis y comportamiento de las metas de impacto, mortalidad evitable por localidad en el distrito capital. El análisis se realiza con corte a diciembre de 2014. El documento se envía a la Secretaría Distrital de Planeación al doctor Nelson Gerardo Pérez Aranguren y a la profesional Martha Lucia Cabanzo Vargas. 
*Elaboración preliminar del diagnóstico sectorial de salud, como parte de los informes de la situación de salud en el distrito capital para el periodo 2012 – 2015, y de insumo para la entrega de balance de la Gestión del Plan de Desarrollo “Bogotá Humana” 
*Se apoyó en la elaboración del informe a la Contraloría sobre el comportamiento de los principales indicadores de salud, en número de casos y tasas, particularmente relacionados con la mortalidad evitable y los nacimientos en mujeres adolescentes en el distrito capital durante el 2014.
• Se realiza la actualización en las fichas EBI correspondiente al seguimiento con corte al segundo trimestre de la vigencia 2015.
• Se realiza la actualización de los componentes de gestión e inversión, territorialización y actividades para realizar el correspondiente seguimiento con corte al segundo trimestre de la vigencia 2015.
• • Se elaboran los documentos de soporte a las inconsistencias presentadas durante el proceso para realizar la validación del seguimiento con corte al segundo trimestre de la vigencia 2015
*• Se realiza el seguimiento a coordinadores de programa correspondiente al segundo trimestre de la vigencia 2015.
*• Se hacen los ajustes pertinentes a las matrices de seguimiento del Plan de Desarrollo Bogotá Humana por proyectos para el seguimiento al mes de julio de 2015.
• Apoyar en la articulación de ellas con el Plan Territorial de Salud, Plan de Contratación de la Secretaría Distrital de Salud de Bogotá D.C., Proyectos de Inversión del FFDS y demás instrucciones dadas por jefe de área
*Actualización, documentación, ajuste y de la matriz de Plan de análisis de información de forma mensual con base en los datos reportados en los RIPS durante este periodo, para las siguientes salidas.( desplazado, discapacidad, habitante de calle, enfermedades de transmisión sexual, transexualismo, trastornos de la personalidad, interrupción voluntaria del embarazo, diagnóstico de salud mental, diagnósticos de atención a neonatos, diagnosticas de trauma y ortopedia , traumas cabeza por accidente de tránsito, Diagnósticos de niños con VIH, neumonía
</t>
    </r>
  </si>
  <si>
    <r>
      <rPr>
        <b/>
        <sz val="9"/>
        <color indexed="10"/>
        <rFont val="Arial Narrow"/>
        <family val="2"/>
      </rPr>
      <t xml:space="preserve">
</t>
    </r>
    <r>
      <rPr>
        <b/>
        <sz val="9"/>
        <rFont val="Arial Narrow"/>
        <family val="2"/>
      </rPr>
      <t xml:space="preserve">
HASTA JULIO 2015
</t>
    </r>
    <r>
      <rPr>
        <sz val="9"/>
        <rFont val="Arial Narrow"/>
        <family val="2"/>
      </rPr>
      <t xml:space="preserve">1. Se logra dar asistencia técnica y se revisan los cierres 2014 y las actualizaciones de los proyectos de inversión del Fondo Financiero Distrital de Salud para la apertura 2015, de acuerdo a los recursos asignados según POAI 
2. Se lograron evaluar:  222 proyectos de las empresas sociales del estado e inscribir: 74
3. Se logra brindar los lineamientos técnicos para la elaboración de los informes de gestión y se definieron las fechas de entrega con el grupo interdirecciones de la Política de Victimas
4. se logró consolidar, revisar y sustentar el informe preliminar del Plan de Acción Distrital de la población víctima del conflicto armado el cual fue entregado a la Alta Consejería, así mismo se realizaron los ajustes pertinentes y se entregó el informe final en coordinación con el Grupo de victimas SDS. (Informe preliminar del Plan de Acción Distrital para la atención de la Población Victima del Conflicto Armado)
5. Se logra preparación de propuesta de modernización institucional concertada con Alta Consejería de la Alcaldía para las TIC.
6. Se logra revisión del documento Mapa de Procesos de la Secretaría
7. Se logra presentación de Conferencia sobre Estrategias de Comunicación a personal correspondiente de Red Hospitalaria Distrital.
8. Se logra actualizar Matriz Indicadores de Salud y presentarlos a la Secretaría Distrital de Planeación.
9. Propuesta de temas de Salud del Distrito Capital para ser incluidas en el Plan Nacional de Desarrollo para la vigencia 2014 – 2018
10. Construcción de la matriz de semaforización armonizado con la nueva estructura de la Entidad.
11. Se logra la actualización de la caracterización del proceso de Planeación Sectorial
12. Estructuración, alimentación y actualización de la matriz de seguimiento del Plan de Desarrollo Bogotá Humana articulado con el Plan Territorial de Salud, Plan de Contratación de la Secretaría Distrital de Salud de Bogotá D.C., Proyectos de Inversión del FFDS y de las Empresas Sociales del Estado, presupuestos productos metas y resultados [PMR] de la SDS
13. PROGRAMAS DE SANEAMIENTO FISCAL Y FINANCIERO: Se logra hacer entrega al Ministerio de Hacienda y Crédito Público, seguimiento a los Programas de Saneamiento Fiscal y Financiero con corte a Junio de 2014, según la metodología del MHCP.
14. Se logra consolidación de presupuestos oficiales para la vigencia 2015 de las ESE. 
15. Se logra realizar análisis, seguimiento, ajustes y consolidación de Informe RUSICST, Informe Narrativo Y FUT I Trimestre de 2015 de las acciones en salud de la Población Victima del Conflicto Armado.
16. Se logra realizar semaforización de las metas del Plan de Desarrollo por cada una de las vigencias 2012 a 2014 del EJE 1 para responder a la Veeduría.
17. En el mes de Abril se logra realizar fundamentación documental de: 
• Circular 07 de 2009 
• Circular 03 de 2012 
• Decreto 2193 de 2004 
• Circular 030 de 2013
18. Se logra desarrollar una propuesta de análisis relacionada con la concordancia entre los sistemas de información RIPS y SIVIGILA (Avances en el documento de documento de análisis relacionado con la concordancia entre los sistemas de información RIPS y SIVIGILA para los eventos Tuberculosis, meningitis, sífilis congénita, VIH)
19. Se logra realizar documentos preliminares de análisis de información de neumonía y desnutrición, con inclusión de comportamiento de los eventos según sexo, localidad de residencia, IPS tendencia del evento, tipo de usuario, tipo de atención.
20. Se logra analizar las metas de mortalidad propuestas en el Plan de Desarrollo, presentando las metas alcanzadas, que se podrán cumplir en la vigencia del Plan de Desarrollo Bogotá Humana y aquellas que no se lograrán alcanzar.
21. Se logra revisar y actualizar el comportamiento de la mortalidad evitable en el Distrito Capital. Serie de tiempo de 2001 a 2014.
22. Se actualizaron la serie de tiempo y la ficha técnica de indicadores, para concluir el informe del Acuerdo 067 de 2002. Archivo enviado a la Secretaría Distrital de Planeación, Dirección de Información, Cartografía y Estadística.
23. Se logra realizar el seguimiento al cumplimiento de las metas del Plan Desarrollo Bogotá Humana vigencia 2014.
24. Se logra realizar la presentación del Balance gestión 2014 de las metas de Plan Desarrollo Bogotá Humana 2012 -2016.
25. Se logra realizar la presentación de la Veeduría con las metas de Plan Desarrollo Bogotá Humana 2012 -2016. Cumplimiento Cuatrienio.
26. Capítulo de recepción de población víctima del conflicto armado
27. Matriz de gasto público y social del sector salud para la implementación de la Política Pública de Infancia Adolescencia 2012 a 2014 y proyección presupuestal 2015-2016
28. Documento conteniendo el diseño estadístico de muestreo, metodología y plan de análisis, para validar el estudio " el INSIGHT como factor pronóstico del riesgo suicida en Bogotá Distrito Capital".
29. Documento Serie Estadística de población de Bogotá y población Subsidiada y población Pobre No Asegurada a Salud (PPNA, vinculada), según Localidades 2008 – 2014; y Proyecciones 2016- 2020; Serie Estadística Población área de influencia Hospital ESE adscrito red pública SDS 2014.
30. 30 Documentos finales de análisis de información de EDA y desnutrición pendiente revisión.
31. Documento Serie Estadística de casos y tasas de Mortalidades evitables 2008 – 2014, como insumo para estimar las funciones.
32. Documento conteniendo formulación de metodología estadística en los proyectos de investigación Colciencias Mortalidad Materna y Perinatal de Bogotá.
33. Se logra preparar los Insumos para la elaboración y ajuste al documento de base de evaluación metas Plan de Desarrollo preliminar Balance de resultados 2012-2014 del mes de Mayo, con énfasis en las metas del PIC ( que incluye los Proyectos de Inversión 869- Salud Para el Buen Vivir y el 885- Salud Ambiental Junio) (Documento Preliminar de información de Resultados)
34. Se evaluaron </t>
    </r>
    <r>
      <rPr>
        <sz val="9"/>
        <color indexed="10"/>
        <rFont val="Arial Narrow"/>
        <family val="2"/>
      </rPr>
      <t xml:space="preserve">4 </t>
    </r>
    <r>
      <rPr>
        <sz val="9"/>
        <rFont val="Arial Narrow"/>
        <family val="2"/>
      </rPr>
      <t>proyectos y se inscribieron</t>
    </r>
    <r>
      <rPr>
        <sz val="9"/>
        <color indexed="10"/>
        <rFont val="Arial Narrow"/>
        <family val="2"/>
      </rPr>
      <t xml:space="preserve"> 2</t>
    </r>
    <r>
      <rPr>
        <sz val="9"/>
        <rFont val="Arial Narrow"/>
        <family val="2"/>
      </rPr>
      <t xml:space="preserve">
35. Durante el mes de julio,  se logra realizar un análisis de las líneas de inversión para el sector salud de las Localidades, en el marco de la Directiva No. 5 2. Se realizó y se ajustó el seguimiento de los recursos ejecutados por parte de los Fondos de Desarrollo Local, con cifras premilitares con corte al 30 de junio de 2015, donde del total de los recursos asignados a los Fondos de Desarrollo Local FDL de la 20 Localidades del Distrito $675.742.683.722, se han ejecutado un total de $153.752.567.571 (22.75%) y se han realizado giros por valor de $16.726.348.183, que equivalen a tal sólo el 2.5%, del total. 
36. Se logra consolidar, revisar, analizar y se envía a la Alta consejería para las victimas el informe RUSICST, FUT e informe narrativo II Trimestre de 2015, de acuerdo a los tiempos establecidos, (Informe RUSICST, FUT e informe narrativo II Trimestre de 2015)
37. Se logra revisar y analizar de los indicadores de gestión del sector salud con la Alta Consejería.
38. Se logra elaborar documento análisis situación del sector salud en Bogotá D. C. y prospectivas periodo 2016-2020
39. Se logra elaborar el análisis comparativo 2014/2015 con corte a marzo 31 del presupuesto de gastos de funcionamiento e inversión  asignado y ejecutado 
40. Se logra revisión final del documento de informe definitivo del Acuerdo 489 de 2012 con el análisis y comportamiento de las metas de impacto, mortalidad evitable por localidad en el distrito capital. El análisis se realiza con corte a diciembre de 2014. El documento se envía a la Secretaría Distrital de Planeación al doctor Nelson Gerardo Pérez Aranguren y a la profesional Martha Lucia Cabanzo Vargas. 
41. Se logra elaborar documento preliminar del diagnóstico sectorial de salud, como parte de los informes de la situación de salud en el distrito capital para el periodo 2012 – 2015, y de insumo para la entrega de balance de la Gestión del Plan de Desarrollo “Bogotá Humana” 
42. Se logra actualización, documentación, ajuste de la matriz de Plan de análisis de información de forma mensual con base en los datos reportados en los RIPS durante este periodo, para las siguientes salidas.( desplazado, discapacidad, habitante de calle, enfermedades de transmisión sexual, transexualismo, trastornos de la personalidad, interrupción voluntaria del embarazo, diagnóstico de salud mental, diagnósticos de atención a neonatos, diagnosticas de trauma y ortopedia , traumas cabeza por accidente de tránsito, Diagnósticos de niños con VIH, neumonía)
</t>
    </r>
  </si>
  <si>
    <r>
      <t xml:space="preserve">
HASTA JULIO 2015
</t>
    </r>
    <r>
      <rPr>
        <sz val="9"/>
        <rFont val="Arial Narrow"/>
        <family val="2"/>
      </rPr>
      <t xml:space="preserve">1. 18 documentos de cierres 2014 y las actualizaciones de los proyectos de inversión del Fondo Financiero Distrital de Salud para la apertura 2015, de acuerdo a los recursos asignados según POAI 
2. 222  proyectos de las Empresas Sociales del Estado evaluados y 74 inscritos.
3. Informe preliminar del Plan de Acción Distrital para la atención de la Población Victima del Conflicto Armado
4. Documento Mapa de Procesos de la Secretaría
5. Conferencia sobre Estrategias de Comunicación a personal correspondiente de Red Hospitalaria Distrital.
6. Matriz Indicadores de Salud y presentarlos a la Secretaría Distrital de Planeación.
7. Propuesta de temas de Salud del Distrito Capital para ser incluidas en el Plan Nacional de Desarrollo para la vigencia 2014 – 2018
8. Presentación del Tablero de control de la Entidad del periodo septiembre y octubre 2014.
9. Matriz de semaforización armonizado con la nueva estructura de la Entidad.
10. Caracterización del proceso de Planeación Sectorial
11. Matriz de seguimiento del Plan de Desarrollo Bogotá Humana articulado con el Plan Territorial de Salud, Plan de Contratación de la Secretaría Distrital de Salud de Bogotá D.C., Proyectos de Inversión del FFDS y de las Empresas Sociales del Estado, presupuestos productos metas y resultados [PMR] de la SDS
12. Documento análisis, seguimiento, ajustes y consolidación de Informe RUSICST, Informe Narrativo Y FUT I Trimestre de 2015 de las acciones en salud de la Población Victima del Conflicto Armado.
13. Semaforización de las metas del Plan de Desarrollo por cada una de las vigencias 2012 a 2014 del EJE 1 para responder a la Veeduría.
14. Fundamentación documental de: 
a. Circular 07 de 2009 
b. Circular 03 de 2012 
c. Decreto 2193 de 2004 
d. Circular 030 de 2013
15. Documento propuesta de análisis relacionada con la concordancia entre los sistemas de información RIPS y SIVIGILA (Avances en el documento de documento de análisis relacionada con la concordancia entre los sistemas de información RIPS y SIVIGILA para los eventos Tuberculosis, meningitis, sífilis congénita, VIH)
16. Documentos preliminares de análisis de información de neumonía y desnutrición, con inclusión de comportamiento de los eventos según sexo, localidad de residencia, IPS tendencia del evento, tipo de usuario, tipo de atención.
17. Documento de análisis a las metas de mortalidad propuestas en el Plan de Desarrollo, presentando las metas alcanzadas, que se podrán cumplir en la vigencia del Plan de Desarrollo Bogotá Humana y aquellas que no se lograrán alcanzar.
18. Documento de seguimiento al cumplimiento de las metas del Plan Desarrollo Bogotá Humana vigencia 2014.
19. Presentación del Balance gestión 2014 de las metas de Plan Desarrollo Bogotá Humana 2012 -2016.
20. Presentación de la Veeduría con las metas de Plan Desarrollo Bogotá Humana 2012 -2016. Cumplimiento Cuatrienio
21. Definición de la ruta de atención a población víctima del conflicto armado.
22. Proyección del gasto para la implementación de la Política Pública de Infancia Adolescencia 2012 a 2014
23. Pronóstico del riesgo suicida en Bogotá Distrito Capital
24 La SDS cuenta con los diferentes análisis e información y estadísticas de EDA, tasas de Mortalidades evitables 2008 – 2014 y Mortalidad Materna y Perinatal de Bogotá para la toma de decisiones. 
25.  Documento Preliminar de información de Resultados metas plan de desarrollo 2012-2014)
26.  Informe RUSICST, FUT e informe narrativo II Trimestre de 2015
27. Documento análisis situación del sector salud en Bogotá D. C. y prospectivas periodo 2016-2020
28. Documento de informe definitivo del Acuerdo 489 de 2012 con el análisis y comportamiento de las metas de impacto, mortalidad evitable por localidad en el distrito capital. El análisis se realiza con corte a diciembre de 2014. El documento se envía a la Secretaría Distrital de Planeación al doctor Nelson Gerardo Pérez Aranguren y a la profesional Martha Lucia Cabanzo Vargas. 
29. Documento preliminar del diagnóstico sectorial de salud, como parte de los informes de la situación de salud en el distrito capital para el periodo 2012 – 2015, y de insumo para la entrega de balance de la Gestión del Plan de Desarrollo “Bogotá Humana” 
</t>
    </r>
  </si>
  <si>
    <t>Número de programas de mediano formulados e implementados</t>
  </si>
  <si>
    <t>Número de proyectos de inversión del  fondo Financiero Distrital de Salud formulados e implementados</t>
  </si>
  <si>
    <t xml:space="preserve">Número de anteproyectos de presupuesto del FFDS y de las ESE aprobados </t>
  </si>
  <si>
    <t>e04o02m02</t>
  </si>
  <si>
    <t>e04o02m02-617</t>
  </si>
  <si>
    <t>Acreditar la Secretaria Distrital de Salud como Dirección Territorial de Salud, al 2016.</t>
  </si>
  <si>
    <t>La acreditación de la SDS</t>
  </si>
  <si>
    <t xml:space="preserve">
Esta meta se cumplió a Diciembre de 2014, teniendo en cuenta que el Artículo 3 del Decreto 903 de 2014 indica que "En el marco del Sistema Obligatorio de Garantía de Calidad de la Atención de Salud, se entiende que las Entidades Departamentales, Distritales y Municipales de Salud alcanzan el nivel superior de calidad con la certificación en la Norma Técnica de Calidad de la Gestión Pública NTCGP 1000:2009 o las normas que la modifiquen, adicionen o sustituyan, en concordancia con lo dispuesto en la Ley 872 de 2003", la cual fue obtenida por la SDS en el año 2011. Por lo tanto la SDS no deberá acreditarse para alcanzar niveles superiores de calidad.</t>
  </si>
  <si>
    <t>Esta meta se cumplió a Diciembre de 2014, teniendo en cuenta que el Artículo 3 del Decreto 903 de 2014 indica que "En el marco del Sistema Obligatorio de Garantía de Calidad de la Atención de Salud, se entiende que las Entidades Departamentales, Distritales y Municipales de Salud alcanzan el nivel superior de calidad con la certificación en la Norma Técnica de Calidad de la Gestión Pública NTCGP 1000:2009 o las normas que la modifiquen, adicionen o sustituyan, en concordancia con lo dispuesto en la Ley 872 de 2003", la cual fue obtenida por la SDS en el año 2011. Por lo tanto la SDS no deberá acreditarse para alcanzar niveles superiores de calidad.</t>
  </si>
  <si>
    <t>e04o02m03</t>
  </si>
  <si>
    <t>e04o02m03-617</t>
  </si>
  <si>
    <t>La certificación de la SDS</t>
  </si>
  <si>
    <r>
      <t xml:space="preserve">JULIO 2015 
</t>
    </r>
    <r>
      <rPr>
        <sz val="9"/>
        <color indexed="8"/>
        <rFont val="Arial Narrow"/>
        <family val="2"/>
      </rPr>
      <t xml:space="preserve">. Planeación institucional: 
Se revisan y publican los seguimientos de: Servicio al Ciudadano, Participación Social de marzo-abril, Dirección de Análisis de Entidades Públicas de enero-mayo, OCI enero-marzo. Del mes de mayo se publican y envían observaciones por correo a: Talento humano, Salud colectiva, Epidemiología, Servicio a la ciudadanía, Participación social, Oficina asuntos disciplinarios, Entidades públicas. Se realiza solicitud especial a Dir. Urgencias y Emergencias el día 14/07/15 por retraso en el envío del seguimiento desde el mes de marzo. (Soporte: Utilidades / Dir. Planeación y sistemas / Dir. Planeación institucional y calidad / Seguimiento POA). 
Se remiten nuevamente las matrices para hacer seguimiento pues se incluyeron dos (2) indicadores transversales del SIG. 
Se llevan a cabo 2 mesas de trabajo con la Dirección de planeación sectorial para revisar metodología del tablero de control y revisión de funciones en común, el día 30/06/15 en la que se define metodología de reporte del POA y se establece el balanceo de los procesos. El día 01/07/15 se elabora documento de Alineación de la plataforma estratégica vs. procesos vs. Política y objetivos SIG y se remite a Claudia Romero, Ana Cárdenas. El día 08/07/15 se realiza reunión con Dra. Azucena Forero, Sandra Gómez de la DPS para revisar funciones en común, tablero de control y recursos financieros a trasladar. 
Se consolida matriz de indicadores de eficacia, eficiencia y efectividad por proceso que servirá de insumo para generar una nueva salida del tablero de control.
2. Sistema de gestión de calidad:
Se diseña test de conocimientos sobre temas de Calidad (5 preguntas) y se aplica el día 06/07/15 a todos los integrantes de la Dirección de Planeación Institucional y Calidad.
La Dirección continua brindando asesoría metodológica en el desarrollo de las auditorías internas de calidad 2015, revisando los planes de auditoría y listas de chequeo presentadas por los auditores.  Se convoca al grupo de auditores internos de calidad para reunión general el día 22/06/15 para presentar las generalidades del proceso de auditoría 2015. Se participa en reunión con el Jefe de la OCI para definir aspectos generales de las auditorías y revisar instrumentos de auditoría. Se genera siguiente versión del Plan de auditoría, se revisan demás instrumentos y se envían a todos los auditores el día 26/06/15. Se crea matriz de relación de requisitos de la NTCGP 1000:2009. Se revisan y retroalimentan por correo las listas de chequeo de los procesos ESC, BYS, JUR, COM, GSP, IVC, GTH, GCI, GSS, GTIC.
De igual manera, desde esta Dirección se generó la lista de chequeo y auditoría al proceso de Comunicaciones en Salud y se realizarán las Auditorias de Calidad a los procesos de Gestión Financiera, IVC y Gestión Jurídica.
Se documenta la propuesta de actualización de la gestión documental del proceso Planeación institucional y calidad, de igual forma se trabaja en la redacción del documento relacionado con los lineamientos documentales para la actualización de adjuntos y procedimientos, de manera conjunta con Luis Carlos Martinez y Olga Vargas.
Se realiza ajuste al diseño del tablero de evaluación del SIG y se consolida evaluación de los indicadores transversales del SIG del 2do. Trimestre 2015. Se entrega Tablero de evaluación del SIG 2do. trimestre 2015 ajustado y evaluado según nuevos criterios. Se remite a todos los gestores y referentes el día 10/07/15 con los ajustes solicitados en la calificación. Adicionalmente se definen las actividades a evaluar para el 3er trimestre. 
Por otro lado, se oficia a la Dirección de Planeación Sectorial solicitando ajustes en el análisis del indicador “Porcentaje ejecución presupuestal”. 
</t>
    </r>
  </si>
  <si>
    <t xml:space="preserve">HASTA JULIO:
1. Planeación Institucional - Con corte a julio se ha logrado:
Matrices de seguimiento POA mayo-junio (y otros)  publicadas en carpeta Utilidades / Dir. Planeación y sistemas / Dir. Planeación institucional y calidad / Seguimiento POA.   Se tiene que para el periodo abril el cumplimiento es del 100%,  mayo 90%  y junio 90%, se encuentra pendiente el reporte por parte de los procesos DUES y Jurídica.
Se consolida matriz de indicadores de eficacia, eficiencia y efectividad por proceso que servirá de insumo para generar una nueva salida del tablero de control.
Dos (2) mesas de trabajo con la Dirección de Planeación Sectorial,  donde se definió: metodología del tablero de control y revisión de funciones en común, metodología de reporte del POA y se establece el balanceo de los procesos. Documento de Alineación de la plataforma estratégica vs. procesos vs. Política y objetivos SIG. Revisión de funciones en común, tablero de control y recursos financieros a trasladar. 
2. Sistema de gestión de calidad - Con corte a julio se ha logrado:
Aplicación test de conocimiento temas Calidad en la Dirección Planeación Institucional y Calidad.
Asesoría metodológica en el desarrollo de las auditorias internas de calidad 2015 al equipo de auditores frente a los planes de auditoría y listas de verificación.
Preparación y desarrollo de las auditorías de Calidad de los procesos Gestión de Comunicaciones, Gestión Financiera, IVC y Gestión Jurídica.
Documentación propuesta de actualización de la gestión documental del proceso Planeación institucional y calidad.  Documento denominado Lineamientos documentales para la actualización de adjuntos y procedimientos.
Diseño del tablero de evaluación del SIG,  consolidación evaluación Indicadores transversales del SIG del 2do. Trimestre 2015. Tablero de evaluación del SIG 2do. trimestre 2015 ajustado y evaluado. Definición de actividades a evaluar para el 3er trimestre Tablero SIG. 
Solicitud ajustes en el análisis del indicador “Porcentaje ejecución presupuestal” a Planeación Sectorial.
Apoyo a la DGTH en la actualización del módulo 2 (estrategia E.learning) del proceso de inducción sobre SIG y actualización guion. 
Se realiza capacitación presencial a funcionarios del despacho (22 de Julio) y se ejecuta medición de conocimientos sobre mapa de procesos. 
Finalizó el proceso de migración de la gestión documental formalizada en el aplicativo Isolución con base en la nueva estructura organizacional y mapa de procesos (100%), actualización documental migrada (70%).
Soporte y gestión de casos de ISOLUCION (29 casos reportados).  Segunda revisión de los ajustes adicionales al módulo de mejoramiento en el aplicativo ISOLUCION remitiéndose el documento de observaciones a la Firma ISOLUCION. Se realiza inactivación de la codificación 114 cumplimiento lineamiento de migración documental.  Reporte de 62 documentos con inconsistencias en la codificación los cuales no fueron migrados. Validación de documentos con código 114 no reportados en la matriz de migración, se relacionan 187 documentos pendientes, se consolida y remiten a los referentes SIG la matriz para su respectivo diligenciamiento (Ivan Bautista y Deisy Ramirez) para que procedan a la actualización.
Se realiza capacitación sobre la migración documental y elementos básicos de la plataforma ISOLUCION, realizada en la sala vive digital el día 08/07/2015, con los gestores y referentes nuevos.
</t>
  </si>
  <si>
    <r>
      <rPr>
        <b/>
        <sz val="9"/>
        <color indexed="8"/>
        <rFont val="Arial Narrow"/>
        <family val="2"/>
      </rPr>
      <t>HASTA JULIO</t>
    </r>
    <r>
      <rPr>
        <sz val="9"/>
        <color indexed="8"/>
        <rFont val="Arial Narrow"/>
        <family val="2"/>
      </rPr>
      <t xml:space="preserve">
1. Planeación Institucional - Con corte a julio se han obtenido los siguientes resultados:
Evitar que las dependencias que tienen a cargo proyectos de inversión no deban duplicar la información que reportan en matriz de SEGPLAN en la matriz del POA. 
Matriz indicadores eficiencia, eficacia y efectividad, metodología tablero de control, reporte POA y balanceo de procesos. Documento alineación Plataforma Estratégica - Procesos - Política y Objetivos SIG. Revisión funciones Direcciones Planeación. Tablero de Control y Recursos Financieros.
Asesoría y asistencia técnica permanente para el reporte del POA.
2. Sistema de Gestión de Calidad - Con corte a julio se han obtenido los siguientes resultados:
Inicio del ciclo de las Auditorias Internas  de Calidad, la Dirección de Planeación Institucional y Calidad participó en la verificación de instrumentos (planes de auditoria y listas de  verificación) y desarrollará Auditorias en cuatro (4) procesos.
Diseño Tablero SIG, consolidación indicadores transversales 2do trimestre y definición de indicadores 3er trimestre.
Capacitación funcionarios del Despacho y medición de adherencia conocimientos.
Proceso de migración de la gestión documental (100%), actualización documental migrada (70%).
Normograma institucional (80%). Revisión del procedimiento "Cumplimiento de lo legal", pendiente aprobación por Jurídica y flujo de aprobación.
Seguimiento a los avances de las acciones correctivas 1027 - auditoria Icontec.  Ajustes a la matriz de identificación de clientes,  producto desarrollado en un 80%, 1032.  Inclusión de acciones correctivas aplicativo Isolución  producto de revisión por la dirección Números 1020,1021,1022,1024,1025,1026,1027,1028,1029,1030,1031,1032,1033 y acciones preventivas 115,116,117,118,119,120,121.
Entrega final de compromisos Trazabilidad cuentas Hospitales.
114 asesorías y asistencias técnicas en diferentes temas relacionados con la implementación de los </t>
    </r>
  </si>
  <si>
    <t>e04o03m01</t>
  </si>
  <si>
    <t>e04o03m01-617</t>
  </si>
  <si>
    <t xml:space="preserve">Número total de subsistemas implementados </t>
  </si>
  <si>
    <r>
      <t xml:space="preserve">JULIO 2015
</t>
    </r>
    <r>
      <rPr>
        <sz val="9"/>
        <rFont val="Arial Narrow"/>
        <family val="2"/>
      </rPr>
      <t xml:space="preserve">Subsistema gestión documental y archivo: La Dirección de Planeación Institucional continua con el acompañamiento en las reuniones entre el Archivo Central y los gestores y referentes de archivo de cada proceso para dar a conocer los lineamientos para la actualización de las Tablas de retención documental (TRD) y elaboración de Cuadros de caracterización documental. 
Subsistema gestión ambiental: Se llevan a cabo diferentes campañas y actividades que fueron incluidas en el Plan Institucional de Gestión Ambiental (PIGA) y aprobadas por el Comité de Gestión Ambiental. Estas son: Capacitación para el personal de servicios generales en el marco de la visita que realizará a la entidad la Secretaría Distrital de Ambiente, esta incluyó temas de Segregación de Residuos, elementos de seguridad industrial e higiene en el trabajo y etiquetado y manipulación de residuos.
De igual manera, se continua con el acompañamiento y participación en las reuniones del Comité ambiental y del comité del PIGHRS.
Por otro lado,  se sostuvo reunión con representantes del Observatorio Ambiental, el motivo solicitud desde el Comité de Gestión ambiental para apoyo metodológico en el levantamiento de procedimientos.
Generales a todos los subsistemas:
Se realiza actualización de los registros e hipervínculos de los planes, programas y proyectos de la SDS contenidos en el  módulo MECI, en el aplicativo ISOLUCION para el elemento Direccionamiento Estratégico.
Participación y monitoreo de participación del resto de los procesos en la capacitación de seguridad de la información.
Subsistema de Seguridad y Salud en el Trabajo: La Dirección de Planeación Institucional  continua haciendo monitoreo y apoyo en los temas de afiliación al SGRL Intervención de Peligros identificados y Prevención y preparación para la atención de Emergencias.
</t>
    </r>
  </si>
  <si>
    <r>
      <rPr>
        <b/>
        <sz val="9"/>
        <color indexed="8"/>
        <rFont val="Arial Narrow"/>
        <family val="2"/>
      </rPr>
      <t>HASTA JULIO 2015</t>
    </r>
    <r>
      <rPr>
        <sz val="9"/>
        <color indexed="8"/>
        <rFont val="Arial Narrow"/>
        <family val="2"/>
      </rPr>
      <t xml:space="preserve">
 Con corte a julio se ha logrado en la implementación de los subsistemas: 
Subsistema de gestión ambiental:
Participación activa en actividades programadas desde el Comité,  como Capacitación para el personal de servicios generales en el marco de la visita que realizará a la entidad la Secretaría Distrital de Ambiente, esta incluyó temas de Segregación de Residuos, elementos de seguridad industrial e higiene en el trabajo y etiquetado y manipulación de residuos, con el fin de generar conciencia y articulación con los demás subsistemas.
Subsistema gestión documental y archivo:
Se logra orientar a todos los procesos en la actualización de los dos principales elementos del Subsistema de Gestión Documental y Archivo. 
Subsistema de seguridad de la información:
Participación y monitoreo de participación del resto de los procesos en la capacitación de seguridad de la información.
Subsistema de seguridad y salud en el trabajo:
Se continua haciendo seguimiento a temas álgidos como la afiliación al SGRL  y la Intervención de Peligros identificados.
Subsistema de control interno:
Se realizó actualización de los registros e hipervínculos de los planes, programas y proyectos de la SDS contenidos en el  módulo MECI, en el aplicativo ISOLUCION para el elemento Direccionamiento Estratégico.
</t>
    </r>
  </si>
  <si>
    <r>
      <rPr>
        <b/>
        <sz val="9"/>
        <color indexed="8"/>
        <rFont val="Arial Narrow"/>
        <family val="2"/>
      </rPr>
      <t>HASTA JULIO 2015</t>
    </r>
    <r>
      <rPr>
        <sz val="9"/>
        <color indexed="8"/>
        <rFont val="Arial Narrow"/>
        <family val="2"/>
      </rPr>
      <t xml:space="preserve">
Mayor avance en la implementación de 3 de los 8 subsistemas que conforman el sistema integrado de gestión (Gestión ambiental, seguridad de la información, seguridad y salud en el trabajo) de acuerdo con los requerimientos exigidos en la norma NTD SIG 001:2011 y las directrices emitidas por la Secretaría General.
Implementación de acciones encaminadas al fortalecimiento de los subsistemas y al involucramiento de los servidores públicos vinculados a la SDS.
</t>
    </r>
  </si>
  <si>
    <t xml:space="preserve">Mayor avance en la implementación de 3 de los 8 subsistemas que conforman el sistema integrado de gestión (Gestión ambiental, seguridad de la información, seguridad y salud en el trabajo) de acuerdo con los requerimientos exigidos en la norma NTD SIG 001:2011 y las directrices emitidas por la Secretaría General.
Implementación de acciones encaminadas al fortalecimiento de los subsistemas y al involucramiento de los servidores públicos vinculados a la SDS.
</t>
  </si>
  <si>
    <t xml:space="preserve">
De acuerdo con los temas tratados en Comité del SIG se identificó que existe la problemática de no contar con el grupo completo de gestores y referentes para los temas del SIG, para lo cual se decide remitir memorando a todas las dependencias solicitando designen por proceso los referentes para cada uno de los temas.
</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</si>
  <si>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Código: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</si>
  <si>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Código: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</si>
  <si>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Código: 114 - PLI - FT -  061 V.01</t>
    </r>
  </si>
  <si>
    <t>Construir y poner en funcionamiento un sistema de Análisis y Evaluación y Políticas de Salud para el Distrito Capital como base para la formulación y ajuste de planes, programas y proyectos, al 2016.</t>
  </si>
  <si>
    <r>
      <t>JULIO
*</t>
    </r>
    <r>
      <rPr>
        <sz val="8"/>
        <rFont val="Tahoma"/>
        <family val="2"/>
      </rPr>
      <t>Se hizo revisión de los procedimientos del proceso políticas públicas para la calidad de vida y la salud (formulación, implementación y evaluación) y se consolidó en un único procedimiento llamado “desarrollo de políticas  públicas para la calidad de vida y la salud”.
*De manera conjunta con la Subsecretaría de Salud Pública se asiste a las mesas de trabajo [clasificadas por Derechos de NNA], del 8 al 17 de julio, convocadas por la Secretaría Distrital de Integración Social para el análisis de los 36 indicadores que dan cuenta de la gestión de la SDS para la implementación de la Política de Infancia y Adolescencia y los 10 indicadores de Juventud.</t>
    </r>
  </si>
  <si>
    <r>
      <t xml:space="preserve">JULIO
</t>
    </r>
    <r>
      <rPr>
        <sz val="8"/>
        <rFont val="Tahoma"/>
        <family val="2"/>
      </rPr>
      <t xml:space="preserve">Se envió a los referentes del grupo interdirecciones de políticas públicas, a los referentes normativos, correo informando de proyectos de ley de afiliación al SGSSS y unificación de la reglamentación del SGSSS.
Se envió a referente de SAN proyectos normativos relacionados con desnutrición y sodio para su revisión y aportes. Se envió a referentes de la política de mujer y género Ley 1761 de 2015 relacionada con feminicidio.
Además se envió a referente jurídico de la Dirección de Planeación y gestión sectorial estas normas.
</t>
    </r>
  </si>
  <si>
    <r>
      <t xml:space="preserve">JULIO
</t>
    </r>
    <r>
      <rPr>
        <sz val="8"/>
        <rFont val="Tahoma"/>
        <family val="2"/>
      </rPr>
      <t>De acuerdo con la información que debe presentarse en el Módulo 1 del informe de Rendición de cuentas Infancia y Adolescencia,  se realizan, las observaciones de matriz de gasto público y social del sector salud para la implementación de la Política Pública de Infancia Adolescencia para los años 2012 a 2014 y proyección presupuestal 2015-2016, remitidas por la Secretaría de Hacienda (Matriz de gasto público y social del sector salud para la implementación de la Política Pública de Infancia Adolescencia 2012 a 2014 y proyección presupuestal 2015-2016, con ajustes  remitida a la Secretaría de Hacienda)</t>
    </r>
  </si>
  <si>
    <r>
      <t xml:space="preserve">JULIO
</t>
    </r>
    <r>
      <rPr>
        <sz val="8"/>
        <rFont val="Tahoma"/>
        <family val="2"/>
      </rPr>
      <t>Se realizó asesoría y asistencia técnica en seguimiento, y monitoreo de proyectos de inversión local de salud a las localidades en los proyectos que se relacionan a continuación:
Ciudad Bolivar: Derechos sexuales y reproductivos 0,30% avance físico y 1,88% Financiero.
discapacidad física y cognitiva  1,68%  físico y 2,37%  financiero.
Usme: 2014 Banco de ayudas técnicas físico 71% y financiera 41%. vectores 100%  físico, y financiero.  Promoción y Prevención 100%. Salud Oral: Físico 100% y financiero 90%.
Puente Aranda:    Componente de Salud Oral:  El contrato de suministros de insumos se ejecuto al 100%. Ayudas Técnicas: Ejecución Física 15,05% . 
Kennedy:  Componente de Salud mental, Salud Nutricional y Banco de ayudas Técnicas (PyP) Vigencia 2013: Ejecución física 99%.  
Componente de control de vectores:  física acumulada 70%. Adición Vigencia 2014:  física acumulada 15%. 
Fontibón:  
Componente Ámbito Escolar: física 20% 
Componente de Control de vectores: Ejecución física acumulada 15% 
Componente de Salud sexual y reproductiva: Ejecución física acumulada 35%. 
Componente Ayudas Técnicas: Ejecución física acumulada 33%
Santafé:
Convenio Interadministrativo CIA 104-2013 Ortodoncia 49,16% 
CIA 060-2013 SAMA Santafé Adición y prorroga recursos 2013-2014 Ejecución Final 97,27%
CIA 077-2014  Banco de Ayudas Técnicas 91,73%
CIA 075/2014  Ruta Saludable 56%
CIA 079/2014  Promoción y prevención.  28,19%
CIA 135/14  COPACO Ejecución Final 100%
Candelaria:
CIA 148/2014 Tenencia de mascotas 15,42%
CIA 080-2014 Banco de Ayudas Técnicas  90,28%
CIA 079-2014 Promoción y Prevención 80,85%
CIA 132-2014 Hidroterapia e hipoterapia 7%
Rafael Uribe:
Convenio de Asociación CAS 131/2014  Salud Oral persona adulta 23%
CIA 129-2014  Banco de Ayudas Técnicas 6,86%
Antonio Nariño:
CIA 143-2014  Salud Sexual y Reproductiva 46%, Salud Oral 16% y Salud Mental 41%
CIA 125-2014  Banco de Ayudas Técnicas 12%
Mártires:
CIA 113-2014 : Banco de Ayudas técnicas, Vacunación No POS, Salud oral, Salud Sexual, Programas de atención y formación sexual y reproductiva Prevención de consumo de SPA y Jornadas de esterilización, vacunación, identificación y adopción de caninos y felinos.  6,51%</t>
    </r>
    <r>
      <rPr>
        <b/>
        <sz val="8"/>
        <rFont val="Tahoma"/>
        <family val="2"/>
      </rPr>
      <t xml:space="preserve">
</t>
    </r>
  </si>
  <si>
    <t xml:space="preserve">Evaluación de las políticas de salud incorporadas en los planes locales a través de la implementación de las estrategias </t>
  </si>
  <si>
    <r>
      <t xml:space="preserve">JULIO
</t>
    </r>
    <r>
      <rPr>
        <sz val="8"/>
        <rFont val="Tahoma"/>
        <family val="2"/>
      </rPr>
      <t>Se trabaja en coordinación con los grupos funcionales de salud mental y discapacidad para hacer seguimiento a la incorporación de políticas en planes locales y líneas de inversión de UEL. Adicionalmente se coordina con referentes de salud pública de Salud Sexual y Reproductiva y salud ambiental para coordinar líneas técnicas de los proyectos UEL.</t>
    </r>
  </si>
  <si>
    <t>Insuficiencia de personal en las redes territoriales para el ejercicio de la función</t>
  </si>
  <si>
    <r>
      <t xml:space="preserve">JULIO
</t>
    </r>
    <r>
      <rPr>
        <sz val="8"/>
        <rFont val="Tahoma"/>
        <family val="2"/>
      </rPr>
      <t>Se han desarrollado las líneas de inversión local definidas para el sector: 1. Promoción y prevención: Salud Mental,  vacunación, promoción de salud, salud oral
2. Promoción de la exigibilidad del derecho
3. Atención integral a personas en condición de discapacidad- Banco de ayudas técnicas.
4. Vigilancia y control en salud pública: Vectores y roedores
5. Cuidado y manejo de mascotas
Y las líneas transectoriales:
1. Prevención de consumo de sustancias psicoactivas
2. Promoción y prevención en el marco de derechos sexuales y reproductivos</t>
    </r>
    <r>
      <rPr>
        <b/>
        <sz val="8"/>
        <rFont val="Tahoma"/>
        <family val="2"/>
      </rPr>
      <t xml:space="preserve">
</t>
    </r>
  </si>
  <si>
    <t xml:space="preserve">% de avance en la gestión, asesoría, apoyo técnico y administrativo para la destinación de recursos en salud, por parte de los Fondos de Desarrollo local.
</t>
  </si>
  <si>
    <r>
      <t xml:space="preserve">JULIO
</t>
    </r>
    <r>
      <rPr>
        <sz val="8"/>
        <rFont val="Tahoma"/>
        <family val="2"/>
      </rPr>
      <t xml:space="preserve">Articulación con las alcaldías locales para nuevos proyectos y recursos establecidos en los planes de desarrollo local para vigencia 2015. </t>
    </r>
  </si>
  <si>
    <t xml:space="preserve">
Es importante que las Alcaldías locales formulen proyectos para la vigencia 2015 antes de la Ley de garantías. Algunas Alcaldías como Usme, Engativá, Barrios Unidos, Santa Fe, Mártires, Bosa, Tunjuelito, San Cristóbal, Suba no han enviado los proyectos.</t>
  </si>
  <si>
    <t xml:space="preserve">Porcentaje de avance en la formulación e  implementación de estrategias para la sostenibilidad  financiera de la política pública del sector salud
</t>
  </si>
  <si>
    <r>
      <t>JULIO
*</t>
    </r>
    <r>
      <rPr>
        <sz val="8"/>
        <rFont val="Tahoma"/>
        <family val="2"/>
      </rPr>
      <t>Se asistió a reunión para la socialización de la directiva 009 de 2015, mediante la cual se deben realizar los informes de entrega de administración y construcción del diagnóstico del sector.
* Preparar y consolidar la información financiera necesaria para la elaboración de la proyección del presupuesto para el año 2016 del FFDS teniendo en cuenta la normatividad vigente en cada caso, utilizando las diferentes herramientas necesarias para su presentación y aprobación
*Se elaboró el Plan Financiero Distrital para enviarlo el día 17 de julio a SHD- se ha dado cumplimiento a lo establecido en la circular conjunta 002 de 2015</t>
    </r>
  </si>
  <si>
    <t xml:space="preserve">Porcentaje de avance en el diseño e implementación de estrategias de financiamiento para garantizar el cumplimiento de las metas del Plan Territorial de Salud y el Plan de Desarrollo "Bogotá Humana" 2012-2016
</t>
  </si>
  <si>
    <r>
      <t>JULIO
*</t>
    </r>
    <r>
      <rPr>
        <sz val="8"/>
        <rFont val="Tahoma"/>
        <family val="2"/>
      </rPr>
      <t>Se acompaño y se participo, junto con la Dirección de Calidad de Servicios de salud de la Subsecretaria de Servicios de Salud y aseguramiento, en la primera parte de la capacitación sobre indicadores de reporte de 2193, derivados de la  Resolución 1446 de 2006, a los responsables de Calidad de las ESE de la red publica distrital adscrita. Esta capacitación se realizo con miras a evidenciar y mejorar el manejo de la información que se reporta a la Superintendencia Nacional de Salud y al Ministerio de salud y protección Social, previa validación por parte de la Dirección de Análisis de  Entidades Publicas Distritales del Sector Salud de la SDS.</t>
    </r>
  </si>
  <si>
    <t>Asesoría y seguimiento a las Empresas Administradoras  de los  Planes de Beneficios - EAPB en el proceso de implementación y ejecución de lo contemplado en el Plan Territorial de Salud 2012-2016</t>
  </si>
  <si>
    <r>
      <t xml:space="preserve">JULIO
</t>
    </r>
    <r>
      <rPr>
        <sz val="8"/>
        <rFont val="Tahoma"/>
        <family val="2"/>
      </rPr>
      <t>*Asesoría técnica a las EAPB en el desarrollo de las acciones que le aportan al Plan Territorial de Salud por medio de las mesas de aseguradoras que se llevan cabo de forma mensual .
*Preparación de las asesorías técnicas para concertar el aporte de las EAPB al Plan territorial de salud.
*Se inicia la construcción del "libro blanco"</t>
    </r>
    <r>
      <rPr>
        <b/>
        <sz val="8"/>
        <rFont val="Tahoma"/>
        <family val="2"/>
      </rPr>
      <t xml:space="preserve">
</t>
    </r>
  </si>
  <si>
    <r>
      <t>JULIO
*</t>
    </r>
    <r>
      <rPr>
        <sz val="8"/>
        <rFont val="Tahoma"/>
        <family val="2"/>
      </rPr>
      <t xml:space="preserve">Se revisó el seguimiento técnico financiero de los 18 proyectos de inversión del Fondo Financiero Distrital de Salud con corte a JUNIO 30 de 2015
*Preparación de Insumos para la elaboración y ajuste al documento de base de evaluación metas Plan de Desarrollo preliminar Balance de resultados 2012-2014 del mes de Mayo, con énfasis en las metas del PIC ( que incluye los Proyectos de Inversión 869- Salud Para el Buen Vivir y el 885- Salud Ambiental Junio) (Documento Preliminar de información de Resultados)
*Revisión, análisis del cumplimiento de las metas del  Proyecto 885-Salud Ambiental  del mes de Junio; reunión con delegados de Planeación Distrital y del Eje 2 Hernando Maldonado, acuerdos de gestión bajo lo normado en la directiva 009 de 2015 Junio.
*Cumplimiento a los lineamientos para el informe de cierre, el que deberá contener el informe general de la gestión y el balance de las metas Plan de Desarrollo </t>
    </r>
  </si>
  <si>
    <r>
      <rPr>
        <sz val="8"/>
        <rFont val="Tahoma"/>
        <family val="2"/>
      </rPr>
      <t>Evaluados: 222</t>
    </r>
    <r>
      <rPr>
        <sz val="8"/>
        <color indexed="10"/>
        <rFont val="Tahoma"/>
        <family val="2"/>
      </rPr>
      <t xml:space="preserve">
</t>
    </r>
    <r>
      <rPr>
        <sz val="8"/>
        <rFont val="Tahoma"/>
        <family val="2"/>
      </rPr>
      <t>Inscritos: 74</t>
    </r>
  </si>
  <si>
    <t xml:space="preserve">
JULIO
*1. Durante el mes de julio, se realizó la siguiente reunión con los Hospitales de la Red Norte, para el seguimiento al PBIS 2014-2015:
a. El 6 de julio, se realizo una reunión con los Hospitales Simón Bolívar III Nivel, Usme I Nivel, Tunjuelito II Nivel. Con el fin de presenta los lineamientos generales para la elaboración del Estudio de factibilidad de los proyectos de inversión que hacen parte del  Plan Bienal de Inversiones en Salud para Bogotá D.C. 2014-2015.
b. El 13 de julio, se realizo reunión con el Hospital Simón Bolívar, para el apoyo técnico para la elaboración del Estudio de factibilidad del proyecto de Inversión “Construcción y Dotación de la Nueva Torre Hospital Simón Bolívar III Nivel”.
* Se evaluaron 4  proyectos y se inscribieron2</t>
  </si>
  <si>
    <t xml:space="preserve">INDICADOR: % de avance en la articulación de acciones  con las diferentes instancias de coordinación sectoriales e intersectoriales para el seguimiento de políticas de salud.
</t>
  </si>
  <si>
    <r>
      <t xml:space="preserve"> JULIO:
</t>
    </r>
    <r>
      <rPr>
        <sz val="8"/>
        <rFont val="Tahoma"/>
        <family val="2"/>
      </rPr>
      <t xml:space="preserve">*. Durante el mes de julio,  se realizó un análisis de las líneas de inversión para el sector salud de las Localidades, en el marco de la Directiva No. 5 2. Se realizó y se ajustó el seguimiento de los recursos ejecutados por parte de los Fondos de Desarrollo Local, con cifras premilitares con corte al 30 de junio de 2015, donde del total de los recursos asignados a los Fondos de Desarrollo Local FDL de la 20 Localidades del Distrito $675.742.683.722, se han ejecutado un total de $153.752.567.571 (22.75%) y se han realizado giros por valor de $16.726.348.183, que equivalen a tal sólo el 2.5%, del total. 
De los recursos asignados por parte de los Fondos de Desarrollo Local FDL, estos han destinado recursos de inversión para la ejecución a actividades en las líneas de inversión en salud contempladas en el Marco de la Directiva 005 de 2012, donde para la vigencia 2015, con corte 30 de junio se tienen destinados para el Sector Salud un total de $10.066.362.406, presentándose una disminución de $955.816.594, con respecto al mes de mayo de 2015.
Con corte al 30 de junio de 2015, los 20 Fondos de Desarrollo Local han realizado compromisos por valor de $667.302.359, para un nivel de ejecución de tan solo el 6,6%%. Se han realizado únicamente giros por valor de $119.574.435, que equivale al 1.2% de los compromisos realizados al 30 de junio de 2015. 
</t>
    </r>
  </si>
  <si>
    <t>Implementación de directrices y lineamientos impartidos por organismos de  dirección, vigilancia y control en salud, del orden distrital y nacional.</t>
  </si>
  <si>
    <t xml:space="preserve">INDICADOR: % de avance en la implementación de directrices y lineamientos impartidos por organismos de dirección, vigilancia y control.
</t>
  </si>
  <si>
    <r>
      <t>JULIO
*</t>
    </r>
    <r>
      <rPr>
        <sz val="8"/>
        <rFont val="Tahoma"/>
        <family val="2"/>
      </rPr>
      <t xml:space="preserve">Se consolida, revisa, analiza y se envía a la Alta consejería para las victimas el informe RUSICST, FUT e informe narrativo II Trimestre de 2015, de acuerdo a los tiempos establecidos, (Informe RUSICST, FUT e informe narrativo II Trimestre de 2015)
*Revisión y análisis de los indicadores de gestión del sector salud con la Alta Consejería.
*Presentación de las sugerencias de cambio  de los indicadores propuestos por la Alta Consejería
</t>
    </r>
  </si>
  <si>
    <t xml:space="preserve">INDICADOR: % de avance en el desarrollo de estrategias propuestas para optimizar recursos humanos, financieros y técnicos destinados a la implementación de políticas de salud.
</t>
  </si>
  <si>
    <r>
      <t xml:space="preserve">JULIO:
</t>
    </r>
    <r>
      <rPr>
        <sz val="8"/>
        <rFont val="Tahoma"/>
        <family val="2"/>
      </rPr>
      <t>*Revisar y consolidar el seguimiento a la inversión con corte a junio 30 del 2015,  del presupuesto asignado para garantizar la prestación de los  servicios de salud a la población  desplazada y/o víctima del conflicto armado; en el marco del Plan de Desarrollo “Bogotá Humana” 2012-2016. 
*Elaborar documento análisis situación del sector salud en Bogotá D. C. y prospectivas periodo 2016-2020
*Elaborar el análisis comparativo 2014/2015 con corte a marzo 31 del presupuesto de gastos de funcionamiento e inversión  asignado y ejecutado</t>
    </r>
    <r>
      <rPr>
        <b/>
        <sz val="8"/>
        <rFont val="Tahoma"/>
        <family val="2"/>
      </rPr>
      <t xml:space="preserve"> 
</t>
    </r>
    <r>
      <rPr>
        <sz val="8"/>
        <rFont val="Tahoma"/>
        <family val="2"/>
      </rPr>
      <t xml:space="preserve">*Realizar el seguimiento mensual al  Presupuesto Orientado a Resultados - POR con corte a Junio 30 del  2015 de la Secretaría Distrital de Salud y del Fondo Financiero Distrital.  </t>
    </r>
  </si>
  <si>
    <r>
      <t xml:space="preserve">JULIO
</t>
    </r>
    <r>
      <rPr>
        <sz val="8"/>
        <rFont val="Tahoma"/>
        <family val="2"/>
      </rPr>
      <t>*Reunión con la referente de desnutrición en menores de cinco años de la subdirección de acciones colectivas para revisar y actualizar el documento de desnutrición, definiendo criterios de salidas de información para el seguimiento a este evento.  
*Reunión con referente de acciones colectivas  salud para definir los criterios de actualización del documento de desnutrición en menores de cinco años.</t>
    </r>
    <r>
      <rPr>
        <b/>
        <sz val="8"/>
        <rFont val="Tahoma"/>
        <family val="2"/>
      </rPr>
      <t xml:space="preserve">
</t>
    </r>
  </si>
  <si>
    <r>
      <t xml:space="preserve">JULIO
</t>
    </r>
    <r>
      <rPr>
        <sz val="8"/>
        <rFont val="Tahoma"/>
        <family val="2"/>
      </rPr>
      <t>*Actualización de matriz serie de tiempo del comportamiento de la mortalidad evitable en el distrito capital. La serie de tiempo se presenta por localidad en el periodo 2001 a 2014.
*Revisión final del documento de informe definitivo del Acuerdo 489 de 2012 con el análisis y comportamiento de las metas de impacto, mortalidad evitable por localidad en el distrito capital. El análisis se realiza con corte a diciembre de 2014. El documento se envía a la Secretaría Distrital de Planeación al doctor Nelson Gerardo Pérez Aranguren y a la profesional Martha Lucia Cabanzo Vargas. 
*Elaboración preliminar del diagnóstico sectorial de salud, como parte de los informes de la situación de salud en el distrito capital para el periodo 2012 – 2015, y de insumo para la entrega de balance de la Gestión del Plan de Desarrollo “Bogotá Humana” 
*Se apoyó en la elaboración del informe a la Contraloría sobre el comportamiento de los principales indicadores de salud, en número de casos y tasas, particularmente relacionados con la mortalidad evitable y los nacimientos en mujeres adolescentes en el distrito capital durante el 2014</t>
    </r>
  </si>
  <si>
    <t>Análisis, seguimiento y evaluación de los compromisos contemplados en el Plan Territorial de salud y el Plan de Desarrollo Bogotá Humana 2012-2016</t>
  </si>
  <si>
    <r>
      <t xml:space="preserve">JULIO:
</t>
    </r>
    <r>
      <rPr>
        <sz val="8"/>
        <rFont val="Tahoma"/>
        <family val="2"/>
      </rPr>
      <t xml:space="preserve">• Se realiza la actualización en las fichas EBI correspondiente al seguimiento con corte al segundo trimestre de la vigencia 2015.
• Se realiza la actualización de los componentes de gestión e inversión, territorialización y actividades para realizar el correspondiente seguimiento con corte al segundo trimestre de la vigencia 2015.
• • Se elaboran los documentos de soporte a las inconsistencias presentadas durante el proceso para realizar la validación del seguimiento con corte al segundo trimestre de la vigencia 2015
*• Se realiza el seguimiento a coordinadores de programa correspondiente al segundo trimestre de la vigencia 2015.
*• Se hacen los ajustes pertinentes a las matrices de seguimiento del Plan de Desarrollo Bogotá Humana por proyectos para el seguimiento al mes de julio de 2015.
• Apoyar en la articulación de ellas con el Plan Territorial de Salud, Plan de Contratación de la Secretaría Distrital de Salud de Bogotá D.C., Proyectos de Inversión del FFDS y demás instrucciones dadas por jefe de área
</t>
    </r>
  </si>
  <si>
    <r>
      <t xml:space="preserve">
JULIO
*</t>
    </r>
    <r>
      <rPr>
        <sz val="8"/>
        <rFont val="Tahoma"/>
        <family val="2"/>
      </rPr>
      <t>Actualización, documentación, ajuste y de la matriz de Plan de análisis de información de forma mensual con base en los datos reportados en los RIPS durante este periodo, para las siguientes salidas.( desplazado, discapacidad, habitante de calle, enfermedades de transmisión sexual, transexualismo, trastornos de la personalidad, interrupción voluntaria del embarazo, diagnóstico de salud mental, diagnósticos de atención a neonatos, diagnosticas de trauma y ortopedia , traumas cabeza por accidente de tránsito, Diagnósticos de niños con vih, neumonía</t>
    </r>
  </si>
  <si>
    <t>Diseño de  estr,ategias para realizar seguimiento a la gestión institucional e implementación de las políticas de salud.</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</si>
</sst>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
    <numFmt numFmtId="173" formatCode="0.0%"/>
    <numFmt numFmtId="174" formatCode="_(* #,##0_);_(* \(#,##0\);_(* &quot;-&quot;??_);_(@_)"/>
    <numFmt numFmtId="175" formatCode="[$-240A]dddd\,\ dd&quot; de &quot;mmmm&quot; de &quot;yyyy"/>
    <numFmt numFmtId="176" formatCode="[$-240A]h:mm:ss\ AM/PM"/>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 #,##0_ ;_ * \-#,##0_ ;_ * &quot;-&quot;??_ ;_ @_ "/>
    <numFmt numFmtId="183" formatCode="0.000000000000"/>
    <numFmt numFmtId="184" formatCode="0.00000000"/>
    <numFmt numFmtId="185" formatCode="_-* #,##0.00000000000\ _€_-;\-* #,##0.00000000000\ _€_-;_-* &quot;-&quot;???????????\ _€_-;_-@_-"/>
    <numFmt numFmtId="186" formatCode="_(* #,##0.00_);_(* \(#,##0.00\);_(* &quot;-&quot;_);_(@_)"/>
    <numFmt numFmtId="187" formatCode="_-* #,##0.00\ _€_-;\-* #,##0.00\ _€_-;_-* &quot;-&quot;??\ _€_-;_-@_-"/>
    <numFmt numFmtId="188" formatCode="_-* #,##0.000000000\ _€_-;\-* #,##0.000000000\ _€_-;_-* &quot;-&quot;??\ _€_-;_-@_-"/>
    <numFmt numFmtId="189" formatCode="00"/>
    <numFmt numFmtId="190" formatCode="&quot;$&quot;\ #,##0"/>
    <numFmt numFmtId="191" formatCode="#,##0.00000000000000000000000000000000000000"/>
    <numFmt numFmtId="192" formatCode="#,##0.000000000000000"/>
    <numFmt numFmtId="193" formatCode="&quot;$&quot;\ #,##0;[Red]&quot;$&quot;\ #,##0"/>
    <numFmt numFmtId="194" formatCode="_(&quot;$&quot;\ * #,##0_);_(&quot;$&quot;\ * \(#,##0\);_(&quot;$&quot;\ * &quot;-&quot;??_);_(@_)"/>
  </numFmts>
  <fonts count="113">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b/>
      <sz val="12"/>
      <color indexed="9"/>
      <name val="Calibri"/>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1"/>
      <color indexed="8"/>
      <name val="Tahoma"/>
      <family val="2"/>
    </font>
    <font>
      <sz val="11"/>
      <name val="Tahoma"/>
      <family val="2"/>
    </font>
    <font>
      <sz val="12"/>
      <color indexed="9"/>
      <name val="Calibri"/>
      <family val="2"/>
    </font>
    <font>
      <sz val="11"/>
      <color indexed="9"/>
      <name val="Arial"/>
      <family val="2"/>
    </font>
    <font>
      <sz val="12"/>
      <name val="Calibri"/>
      <family val="2"/>
    </font>
    <font>
      <sz val="12"/>
      <color indexed="8"/>
      <name val="Arial"/>
      <family val="2"/>
    </font>
    <font>
      <sz val="11"/>
      <name val="Arial"/>
      <family val="2"/>
    </font>
    <font>
      <sz val="10"/>
      <name val="Tahoma"/>
      <family val="2"/>
    </font>
    <font>
      <sz val="12"/>
      <name val="Arial"/>
      <family val="2"/>
    </font>
    <font>
      <b/>
      <sz val="12"/>
      <name val="Arial"/>
      <family val="2"/>
    </font>
    <font>
      <b/>
      <sz val="11"/>
      <name val="Arial"/>
      <family val="2"/>
    </font>
    <font>
      <b/>
      <sz val="12"/>
      <color indexed="10"/>
      <name val="Tahoma"/>
      <family val="2"/>
    </font>
    <font>
      <b/>
      <sz val="11"/>
      <color indexed="8"/>
      <name val="Calibri"/>
      <family val="2"/>
    </font>
    <font>
      <sz val="12"/>
      <color indexed="8"/>
      <name val="Calibri"/>
      <family val="2"/>
    </font>
    <font>
      <sz val="8"/>
      <name val="Tahoma"/>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sz val="9"/>
      <color indexed="8"/>
      <name val="Tahoma"/>
      <family val="2"/>
    </font>
    <font>
      <b/>
      <sz val="9"/>
      <color indexed="8"/>
      <name val="Tahoma"/>
      <family val="2"/>
    </font>
    <font>
      <b/>
      <sz val="9"/>
      <color indexed="9"/>
      <name val="Tahoma"/>
      <family val="2"/>
    </font>
    <font>
      <b/>
      <sz val="9"/>
      <color indexed="10"/>
      <name val="Tahoma"/>
      <family val="2"/>
    </font>
    <font>
      <sz val="9"/>
      <name val="Calibri"/>
      <family val="2"/>
    </font>
    <font>
      <sz val="9"/>
      <color indexed="10"/>
      <name val="Tahoma"/>
      <family val="2"/>
    </font>
    <font>
      <sz val="9"/>
      <color indexed="8"/>
      <name val="Calibri"/>
      <family val="2"/>
    </font>
    <font>
      <sz val="10"/>
      <name val="Calibri"/>
      <family val="2"/>
    </font>
    <font>
      <b/>
      <sz val="9"/>
      <color indexed="8"/>
      <name val="Calibri"/>
      <family val="2"/>
    </font>
    <font>
      <b/>
      <sz val="9"/>
      <name val="Calibri"/>
      <family val="2"/>
    </font>
    <font>
      <b/>
      <sz val="9"/>
      <color indexed="18"/>
      <name val="Calibri"/>
      <family val="2"/>
    </font>
    <font>
      <b/>
      <sz val="10"/>
      <color indexed="8"/>
      <name val="Arial"/>
      <family val="2"/>
    </font>
    <font>
      <b/>
      <sz val="12"/>
      <color indexed="10"/>
      <name val="Calibri"/>
      <family val="2"/>
    </font>
    <font>
      <sz val="9"/>
      <name val="Verdana"/>
      <family val="2"/>
    </font>
    <font>
      <b/>
      <sz val="11"/>
      <name val="Calibri"/>
      <family val="2"/>
    </font>
    <font>
      <sz val="8"/>
      <color indexed="8"/>
      <name val="Arial"/>
      <family val="2"/>
    </font>
    <font>
      <b/>
      <sz val="12"/>
      <color indexed="10"/>
      <name val="Arial"/>
      <family val="2"/>
    </font>
    <font>
      <b/>
      <sz val="9"/>
      <color indexed="8"/>
      <name val="Arial Narrow"/>
      <family val="2"/>
    </font>
    <font>
      <sz val="9"/>
      <color indexed="8"/>
      <name val="Arial Narrow"/>
      <family val="2"/>
    </font>
    <font>
      <sz val="9"/>
      <color indexed="10"/>
      <name val="Arial Narrow"/>
      <family val="2"/>
    </font>
    <font>
      <sz val="9"/>
      <name val="Arial Narrow"/>
      <family val="2"/>
    </font>
    <font>
      <b/>
      <sz val="9"/>
      <name val="Arial Narrow"/>
      <family val="2"/>
    </font>
    <font>
      <b/>
      <sz val="9"/>
      <color indexed="10"/>
      <name val="Arial Narrow"/>
      <family val="2"/>
    </font>
    <font>
      <b/>
      <sz val="8"/>
      <name val="Tahoma"/>
      <family val="2"/>
    </font>
    <font>
      <sz val="9"/>
      <color indexed="10"/>
      <name val="Calibri"/>
      <family val="2"/>
    </font>
    <font>
      <sz val="8"/>
      <color indexed="8"/>
      <name val="Tahoma"/>
      <family val="2"/>
    </font>
    <font>
      <sz val="8"/>
      <color indexed="10"/>
      <name val="Tahoma"/>
      <family val="2"/>
    </font>
    <font>
      <b/>
      <sz val="9"/>
      <color indexed="10"/>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2"/>
      <color indexed="8"/>
      <name val="Tahoma"/>
      <family val="2"/>
    </font>
    <font>
      <sz val="11"/>
      <color indexed="10"/>
      <name val="Tahoma"/>
      <family val="2"/>
    </font>
    <font>
      <sz val="11"/>
      <color indexed="10"/>
      <name val="Arial"/>
      <family val="2"/>
    </font>
    <font>
      <b/>
      <sz val="11"/>
      <color indexed="10"/>
      <name val="Arial"/>
      <family val="2"/>
    </font>
    <font>
      <sz val="10"/>
      <color indexed="8"/>
      <name val="Arial"/>
      <family val="2"/>
    </font>
    <font>
      <sz val="9"/>
      <color indexed="21"/>
      <name val="Calibri"/>
      <family val="2"/>
    </font>
    <font>
      <b/>
      <sz val="9"/>
      <color indexed="2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2"/>
      <color theme="1"/>
      <name val="Tahoma"/>
      <family val="2"/>
    </font>
    <font>
      <sz val="12"/>
      <color theme="1"/>
      <name val="Calibri"/>
      <family val="2"/>
    </font>
    <font>
      <sz val="12"/>
      <color theme="1"/>
      <name val="Arial"/>
      <family val="2"/>
    </font>
    <font>
      <sz val="11"/>
      <color rgb="FFFF0000"/>
      <name val="Tahoma"/>
      <family val="2"/>
    </font>
    <font>
      <sz val="11"/>
      <color rgb="FFFF0000"/>
      <name val="Arial"/>
      <family val="2"/>
    </font>
    <font>
      <b/>
      <sz val="11"/>
      <color rgb="FFFF0000"/>
      <name val="Arial"/>
      <family val="2"/>
    </font>
    <font>
      <sz val="10"/>
      <color theme="1"/>
      <name val="Arial"/>
      <family val="2"/>
    </font>
    <font>
      <sz val="8"/>
      <color rgb="FFFF0000"/>
      <name val="Tahoma"/>
      <family val="2"/>
    </font>
    <font>
      <sz val="9"/>
      <color rgb="FF00B050"/>
      <name val="Calibri"/>
      <family val="2"/>
    </font>
    <font>
      <b/>
      <sz val="9"/>
      <color rgb="FF00B050"/>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theme="0"/>
        <bgColor indexed="64"/>
      </patternFill>
    </fill>
    <fill>
      <patternFill patternType="solid">
        <fgColor rgb="FF002060"/>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62"/>
        <bgColor indexed="64"/>
      </patternFill>
    </fill>
    <fill>
      <patternFill patternType="solid">
        <fgColor indexed="18"/>
        <bgColor indexed="64"/>
      </patternFill>
    </fill>
    <fill>
      <patternFill patternType="solid">
        <fgColor indexed="42"/>
        <bgColor indexed="64"/>
      </patternFill>
    </fill>
    <fill>
      <patternFill patternType="solid">
        <fgColor indexed="55"/>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style="thin">
        <color indexed="9"/>
      </right>
      <top style="thin">
        <color indexed="9"/>
      </top>
      <bottom style="thin">
        <color indexed="9"/>
      </bottom>
    </border>
    <border>
      <left/>
      <right style="medium"/>
      <top style="medium"/>
      <bottom/>
    </border>
    <border>
      <left/>
      <right style="medium"/>
      <top/>
      <bottom/>
    </border>
    <border>
      <left/>
      <right style="medium"/>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top/>
      <bottom style="medium"/>
    </border>
    <border>
      <left>
        <color indexed="63"/>
      </left>
      <right style="thin">
        <color indexed="9"/>
      </right>
      <top>
        <color indexed="63"/>
      </top>
      <bottom>
        <color indexed="63"/>
      </bottom>
    </border>
    <border>
      <left style="thin">
        <color indexed="9"/>
      </left>
      <right style="thin">
        <color indexed="9"/>
      </right>
      <top style="thin">
        <color indexed="9"/>
      </top>
      <bottom>
        <color indexed="63"/>
      </bottom>
    </border>
    <border>
      <left style="thin"/>
      <right style="medium"/>
      <top style="medium"/>
      <bottom style="thin"/>
    </border>
    <border>
      <left style="thin"/>
      <right style="thin"/>
      <top>
        <color indexed="63"/>
      </top>
      <bottom>
        <color indexed="63"/>
      </bottom>
    </border>
    <border>
      <left style="thin"/>
      <right style="thin"/>
      <top style="thin">
        <color indexed="9"/>
      </top>
      <bottom>
        <color indexed="63"/>
      </bottom>
    </border>
    <border>
      <left style="thin"/>
      <right style="medium"/>
      <top>
        <color indexed="63"/>
      </top>
      <bottom>
        <color indexed="63"/>
      </bottom>
    </border>
    <border>
      <left style="thin"/>
      <right style="medium"/>
      <top>
        <color indexed="63"/>
      </top>
      <bottom style="thin"/>
    </border>
    <border>
      <left/>
      <right/>
      <top/>
      <bottom style="thin"/>
    </border>
    <border>
      <left style="medium"/>
      <right/>
      <top style="medium"/>
      <bottom/>
    </border>
    <border>
      <left style="medium"/>
      <right/>
      <top/>
      <bottom/>
    </border>
    <border>
      <left style="medium"/>
      <right/>
      <top/>
      <bottom style="mediu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right style="thin">
        <color indexed="9"/>
      </right>
      <top/>
      <bottom style="thin"/>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20" borderId="0" applyNumberFormat="0" applyBorder="0" applyAlignment="0" applyProtection="0"/>
    <xf numFmtId="0" fontId="88" fillId="21" borderId="1" applyNumberFormat="0" applyAlignment="0" applyProtection="0"/>
    <xf numFmtId="0" fontId="89" fillId="22" borderId="2" applyNumberFormat="0" applyAlignment="0" applyProtection="0"/>
    <xf numFmtId="0" fontId="90" fillId="0" borderId="3" applyNumberFormat="0" applyFill="0" applyAlignment="0" applyProtection="0"/>
    <xf numFmtId="0" fontId="91" fillId="0" borderId="0" applyNumberFormat="0" applyFill="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92"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1"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93"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94" fillId="21" borderId="5"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91" fillId="0" borderId="8" applyNumberFormat="0" applyFill="0" applyAlignment="0" applyProtection="0"/>
    <xf numFmtId="0" fontId="100" fillId="0" borderId="9" applyNumberFormat="0" applyFill="0" applyAlignment="0" applyProtection="0"/>
  </cellStyleXfs>
  <cellXfs count="573">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0" borderId="0" xfId="0" applyFont="1" applyAlignment="1" applyProtection="1">
      <alignment/>
      <protection/>
    </xf>
    <xf numFmtId="0" fontId="4" fillId="33" borderId="11"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12" fillId="33" borderId="1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5" fillId="0" borderId="0" xfId="0" applyFont="1" applyAlignment="1" applyProtection="1">
      <alignment horizontal="center"/>
      <protection/>
    </xf>
    <xf numFmtId="0" fontId="7" fillId="0" borderId="0" xfId="0" applyFont="1" applyAlignment="1" applyProtection="1">
      <alignment horizontal="center" vertical="center"/>
      <protection/>
    </xf>
    <xf numFmtId="0" fontId="14"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justify" vertical="center" wrapText="1"/>
      <protection locked="0"/>
    </xf>
    <xf numFmtId="0" fontId="14" fillId="0" borderId="10" xfId="0" applyFont="1" applyFill="1" applyBorder="1" applyAlignment="1" applyProtection="1">
      <alignment horizontal="center" vertical="center" wrapText="1"/>
      <protection/>
    </xf>
    <xf numFmtId="0" fontId="15" fillId="35" borderId="10" xfId="0" applyFont="1" applyFill="1" applyBorder="1" applyAlignment="1" applyProtection="1">
      <alignment horizontal="center" vertical="center"/>
      <protection/>
    </xf>
    <xf numFmtId="0" fontId="15" fillId="35" borderId="10" xfId="0" applyFont="1" applyFill="1" applyBorder="1" applyAlignment="1" applyProtection="1">
      <alignment horizontal="left" vertical="center" wrapText="1"/>
      <protection/>
    </xf>
    <xf numFmtId="9" fontId="15" fillId="35" borderId="10" xfId="0" applyNumberFormat="1" applyFont="1" applyFill="1" applyBorder="1" applyAlignment="1" applyProtection="1">
      <alignment horizontal="center" vertical="center" wrapText="1"/>
      <protection/>
    </xf>
    <xf numFmtId="0" fontId="101" fillId="0" borderId="10" xfId="0" applyFont="1" applyFill="1" applyBorder="1" applyAlignment="1" applyProtection="1">
      <alignment horizontal="center" vertical="center" wrapText="1"/>
      <protection/>
    </xf>
    <xf numFmtId="0" fontId="101" fillId="0" borderId="10" xfId="0" applyFont="1" applyFill="1" applyBorder="1" applyAlignment="1" applyProtection="1">
      <alignment horizontal="justify" vertical="center" wrapText="1"/>
      <protection/>
    </xf>
    <xf numFmtId="0" fontId="101" fillId="0" borderId="10" xfId="0" applyFont="1" applyFill="1" applyBorder="1" applyAlignment="1" applyProtection="1">
      <alignment horizontal="center" vertical="center"/>
      <protection/>
    </xf>
    <xf numFmtId="0" fontId="101" fillId="0" borderId="10" xfId="0" applyFont="1" applyFill="1" applyBorder="1" applyAlignment="1" applyProtection="1">
      <alignment horizontal="left" vertical="center" wrapText="1"/>
      <protection/>
    </xf>
    <xf numFmtId="0" fontId="101" fillId="0" borderId="12" xfId="0" applyFont="1" applyFill="1" applyBorder="1" applyAlignment="1" applyProtection="1">
      <alignment horizontal="center" vertical="center" wrapText="1"/>
      <protection/>
    </xf>
    <xf numFmtId="0" fontId="13" fillId="0" borderId="10" xfId="0" applyFont="1" applyFill="1" applyBorder="1" applyAlignment="1" applyProtection="1">
      <alignment horizontal="justify" vertical="center" wrapText="1"/>
      <protection locked="0"/>
    </xf>
    <xf numFmtId="9" fontId="101" fillId="0" borderId="10" xfId="0" applyNumberFormat="1" applyFont="1" applyFill="1" applyBorder="1" applyAlignment="1" applyProtection="1">
      <alignment horizontal="center" vertical="center" wrapText="1"/>
      <protection/>
    </xf>
    <xf numFmtId="0" fontId="101" fillId="0" borderId="13" xfId="0" applyNumberFormat="1" applyFont="1" applyFill="1" applyBorder="1" applyAlignment="1" applyProtection="1">
      <alignment horizontal="justify" vertical="center" wrapText="1"/>
      <protection/>
    </xf>
    <xf numFmtId="0" fontId="18" fillId="0" borderId="10" xfId="0" applyFont="1" applyFill="1" applyBorder="1" applyAlignment="1" applyProtection="1">
      <alignment horizontal="justify" vertical="center" wrapText="1"/>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justify" vertical="center" wrapText="1"/>
      <protection/>
    </xf>
    <xf numFmtId="0" fontId="19" fillId="0" borderId="10" xfId="0" applyNumberFormat="1" applyFont="1" applyFill="1" applyBorder="1" applyAlignment="1" applyProtection="1">
      <alignment horizontal="justify" vertical="center" wrapText="1"/>
      <protection/>
    </xf>
    <xf numFmtId="174" fontId="19" fillId="0" borderId="10" xfId="48" applyNumberFormat="1" applyFont="1" applyFill="1" applyBorder="1" applyAlignment="1" applyProtection="1" quotePrefix="1">
      <alignment horizontal="center" vertical="center"/>
      <protection/>
    </xf>
    <xf numFmtId="0" fontId="1" fillId="34" borderId="0" xfId="0" applyFont="1" applyFill="1" applyAlignment="1" applyProtection="1">
      <alignment horizontal="justify" vertical="center"/>
      <protection/>
    </xf>
    <xf numFmtId="0" fontId="0" fillId="34" borderId="0" xfId="0" applyFont="1" applyFill="1" applyAlignment="1" applyProtection="1">
      <alignment vertical="center"/>
      <protection/>
    </xf>
    <xf numFmtId="9" fontId="0" fillId="0" borderId="10" xfId="0" applyNumberFormat="1" applyFont="1" applyFill="1" applyBorder="1" applyAlignment="1" applyProtection="1">
      <alignment horizontal="center" vertical="center" wrapText="1"/>
      <protection/>
    </xf>
    <xf numFmtId="0" fontId="1" fillId="0" borderId="0" xfId="0" applyFont="1" applyFill="1" applyAlignment="1" applyProtection="1">
      <alignment horizontal="justify" vertical="center"/>
      <protection/>
    </xf>
    <xf numFmtId="0" fontId="101" fillId="0" borderId="10" xfId="0" applyNumberFormat="1" applyFont="1" applyFill="1" applyBorder="1" applyAlignment="1" applyProtection="1">
      <alignment horizontal="justify" vertical="center" wrapText="1"/>
      <protection/>
    </xf>
    <xf numFmtId="0" fontId="0" fillId="0" borderId="0" xfId="0" applyFont="1" applyAlignment="1" applyProtection="1">
      <alignment horizontal="center" vertical="center"/>
      <protection/>
    </xf>
    <xf numFmtId="0" fontId="101" fillId="35" borderId="10" xfId="0" applyFont="1" applyFill="1" applyBorder="1" applyAlignment="1" applyProtection="1">
      <alignment horizontal="center" vertical="center" wrapText="1"/>
      <protection/>
    </xf>
    <xf numFmtId="0" fontId="101" fillId="35" borderId="10" xfId="0" applyFont="1" applyFill="1" applyBorder="1" applyAlignment="1" applyProtection="1">
      <alignment horizontal="justify" vertical="center" wrapText="1"/>
      <protection/>
    </xf>
    <xf numFmtId="0" fontId="101" fillId="35" borderId="10" xfId="0" applyFont="1" applyFill="1" applyBorder="1" applyAlignment="1" applyProtection="1">
      <alignment horizontal="center" vertical="center"/>
      <protection/>
    </xf>
    <xf numFmtId="0" fontId="101" fillId="35" borderId="10" xfId="0" applyFont="1" applyFill="1" applyBorder="1" applyAlignment="1" applyProtection="1">
      <alignment horizontal="left" vertical="center" wrapText="1"/>
      <protection/>
    </xf>
    <xf numFmtId="174" fontId="19" fillId="35" borderId="10" xfId="48" applyNumberFormat="1" applyFont="1" applyFill="1" applyBorder="1" applyAlignment="1" applyProtection="1" quotePrefix="1">
      <alignment horizontal="center" vertical="center"/>
      <protection/>
    </xf>
    <xf numFmtId="0" fontId="14" fillId="35" borderId="10" xfId="0" applyFont="1" applyFill="1" applyBorder="1" applyAlignment="1" applyProtection="1">
      <alignment horizontal="center" vertical="center" wrapText="1"/>
      <protection/>
    </xf>
    <xf numFmtId="9" fontId="0" fillId="35" borderId="10" xfId="0" applyNumberFormat="1" applyFont="1" applyFill="1" applyBorder="1" applyAlignment="1" applyProtection="1">
      <alignment horizontal="center" vertical="center" wrapText="1"/>
      <protection/>
    </xf>
    <xf numFmtId="0" fontId="13" fillId="35" borderId="10" xfId="0" applyFont="1" applyFill="1" applyBorder="1" applyAlignment="1" applyProtection="1">
      <alignment horizontal="justify" vertical="center" wrapText="1"/>
      <protection locked="0"/>
    </xf>
    <xf numFmtId="0" fontId="1" fillId="35" borderId="0" xfId="0" applyFont="1" applyFill="1" applyAlignment="1" applyProtection="1">
      <alignment horizontal="justify" vertical="center"/>
      <protection/>
    </xf>
    <xf numFmtId="0" fontId="102" fillId="0" borderId="12" xfId="0" applyFont="1" applyFill="1" applyBorder="1" applyAlignment="1" applyProtection="1">
      <alignment vertical="top" wrapText="1"/>
      <protection/>
    </xf>
    <xf numFmtId="0" fontId="101" fillId="0" borderId="10" xfId="0" applyFont="1" applyFill="1" applyBorder="1" applyAlignment="1" applyProtection="1" quotePrefix="1">
      <alignment horizontal="center" vertical="center"/>
      <protection/>
    </xf>
    <xf numFmtId="0" fontId="101" fillId="0" borderId="12" xfId="0" applyFont="1" applyFill="1" applyBorder="1" applyAlignment="1" applyProtection="1">
      <alignment horizontal="justify" vertical="center" wrapText="1"/>
      <protection/>
    </xf>
    <xf numFmtId="0" fontId="101" fillId="0" borderId="12" xfId="0" applyFont="1" applyFill="1" applyBorder="1" applyAlignment="1" applyProtection="1">
      <alignment horizontal="center" vertical="center"/>
      <protection/>
    </xf>
    <xf numFmtId="0" fontId="101" fillId="0" borderId="12" xfId="0" applyFont="1" applyFill="1" applyBorder="1" applyAlignment="1" applyProtection="1">
      <alignment horizontal="left" vertical="center" wrapText="1"/>
      <protection/>
    </xf>
    <xf numFmtId="0" fontId="0" fillId="0" borderId="0" xfId="0" applyAlignment="1" applyProtection="1">
      <alignment horizontal="left" vertical="center"/>
      <protection/>
    </xf>
    <xf numFmtId="0" fontId="3" fillId="33"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xf>
    <xf numFmtId="0" fontId="20" fillId="33"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protection/>
    </xf>
    <xf numFmtId="0" fontId="21" fillId="35" borderId="10" xfId="0" applyFont="1" applyFill="1" applyBorder="1" applyAlignment="1" applyProtection="1">
      <alignment horizontal="center" vertical="center"/>
      <protection/>
    </xf>
    <xf numFmtId="0" fontId="13" fillId="35" borderId="10" xfId="0" applyFont="1" applyFill="1" applyBorder="1" applyAlignment="1" applyProtection="1">
      <alignment horizontal="center" vertical="center"/>
      <protection/>
    </xf>
    <xf numFmtId="9" fontId="103" fillId="0" borderId="10" xfId="0" applyNumberFormat="1" applyFont="1" applyFill="1" applyBorder="1" applyAlignment="1" applyProtection="1">
      <alignment horizontal="center" vertical="center" wrapText="1"/>
      <protection/>
    </xf>
    <xf numFmtId="0" fontId="103"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3" fillId="0" borderId="10" xfId="0" applyFont="1" applyFill="1" applyBorder="1" applyAlignment="1" applyProtection="1">
      <alignment horizontal="justify" vertical="center"/>
      <protection/>
    </xf>
    <xf numFmtId="0" fontId="23" fillId="0" borderId="10" xfId="0" applyFont="1" applyFill="1" applyBorder="1" applyAlignment="1" applyProtection="1">
      <alignment horizontal="justify" vertical="center" wrapText="1"/>
      <protection/>
    </xf>
    <xf numFmtId="0" fontId="104" fillId="0" borderId="10" xfId="0" applyFont="1" applyFill="1" applyBorder="1" applyAlignment="1" applyProtection="1">
      <alignment horizontal="center" vertical="center"/>
      <protection/>
    </xf>
    <xf numFmtId="0" fontId="104" fillId="0" borderId="10" xfId="0" applyFont="1" applyFill="1" applyBorder="1" applyAlignment="1" applyProtection="1">
      <alignment horizontal="justify" vertical="center" textRotation="90"/>
      <protection/>
    </xf>
    <xf numFmtId="0" fontId="23" fillId="0" borderId="10" xfId="0" applyFont="1" applyFill="1" applyBorder="1" applyAlignment="1" applyProtection="1">
      <alignment horizontal="center" vertical="center"/>
      <protection/>
    </xf>
    <xf numFmtId="9" fontId="101" fillId="0" borderId="10" xfId="0" applyNumberFormat="1" applyFont="1" applyFill="1" applyBorder="1" applyAlignment="1" applyProtection="1">
      <alignment horizontal="center" vertical="center"/>
      <protection/>
    </xf>
    <xf numFmtId="3" fontId="15" fillId="35" borderId="10" xfId="0" applyNumberFormat="1" applyFont="1" applyFill="1" applyBorder="1" applyAlignment="1" applyProtection="1">
      <alignment horizontal="center" vertical="center" wrapText="1"/>
      <protection locked="0"/>
    </xf>
    <xf numFmtId="0" fontId="11" fillId="33" borderId="11" xfId="0" applyFont="1" applyFill="1" applyBorder="1" applyAlignment="1" applyProtection="1">
      <alignment horizontal="center" vertical="center" wrapText="1"/>
      <protection/>
    </xf>
    <xf numFmtId="9" fontId="24" fillId="34" borderId="10" xfId="60" applyNumberFormat="1" applyFont="1" applyFill="1" applyBorder="1" applyAlignment="1" applyProtection="1">
      <alignment horizontal="center" vertical="center" wrapText="1"/>
      <protection locked="0"/>
    </xf>
    <xf numFmtId="1" fontId="24" fillId="34" borderId="10" xfId="60" applyNumberFormat="1" applyFont="1" applyFill="1" applyBorder="1" applyAlignment="1" applyProtection="1">
      <alignment horizontal="center" vertical="center" wrapText="1"/>
      <protection locked="0"/>
    </xf>
    <xf numFmtId="9" fontId="24" fillId="35" borderId="10" xfId="0" applyNumberFormat="1" applyFont="1" applyFill="1" applyBorder="1" applyAlignment="1" applyProtection="1">
      <alignment horizontal="center" vertical="center" wrapText="1"/>
      <protection locked="0"/>
    </xf>
    <xf numFmtId="9" fontId="24" fillId="0" borderId="10" xfId="60" applyNumberFormat="1" applyFont="1" applyFill="1" applyBorder="1" applyAlignment="1" applyProtection="1">
      <alignment horizontal="center" vertical="center" wrapText="1"/>
      <protection locked="0"/>
    </xf>
    <xf numFmtId="9" fontId="24" fillId="35" borderId="10" xfId="60" applyNumberFormat="1" applyFont="1" applyFill="1" applyBorder="1" applyAlignment="1" applyProtection="1">
      <alignment horizontal="center" vertical="center" wrapText="1"/>
      <protection locked="0"/>
    </xf>
    <xf numFmtId="1" fontId="24" fillId="0" borderId="10" xfId="60" applyNumberFormat="1" applyFont="1" applyFill="1" applyBorder="1" applyAlignment="1" applyProtection="1">
      <alignment horizontal="center" vertical="center" wrapText="1"/>
      <protection locked="0"/>
    </xf>
    <xf numFmtId="173" fontId="14" fillId="0" borderId="10" xfId="0" applyNumberFormat="1" applyFont="1" applyFill="1" applyBorder="1" applyAlignment="1" applyProtection="1">
      <alignment horizontal="center" vertical="center" wrapText="1"/>
      <protection/>
    </xf>
    <xf numFmtId="1" fontId="14" fillId="0" borderId="10" xfId="0" applyNumberFormat="1" applyFont="1" applyFill="1" applyBorder="1" applyAlignment="1" applyProtection="1">
      <alignment horizontal="center" vertical="center" wrapText="1"/>
      <protection/>
    </xf>
    <xf numFmtId="9" fontId="101" fillId="0" borderId="10" xfId="60" applyNumberFormat="1" applyFont="1" applyFill="1" applyBorder="1" applyAlignment="1" applyProtection="1">
      <alignment horizontal="center" vertical="center" wrapText="1"/>
      <protection/>
    </xf>
    <xf numFmtId="0" fontId="19" fillId="34" borderId="10" xfId="0" applyFont="1" applyFill="1" applyBorder="1" applyAlignment="1" applyProtection="1">
      <alignment horizontal="center" vertical="center" wrapText="1"/>
      <protection/>
    </xf>
    <xf numFmtId="0" fontId="19" fillId="34" borderId="10" xfId="0" applyFont="1" applyFill="1" applyBorder="1" applyAlignment="1" applyProtection="1">
      <alignment horizontal="left" vertical="center" wrapText="1"/>
      <protection/>
    </xf>
    <xf numFmtId="0" fontId="19" fillId="34" borderId="10" xfId="0" applyFont="1" applyFill="1" applyBorder="1" applyAlignment="1" applyProtection="1">
      <alignment horizontal="justify" vertical="center" wrapText="1"/>
      <protection/>
    </xf>
    <xf numFmtId="0" fontId="101" fillId="34" borderId="10" xfId="0" applyFont="1" applyFill="1" applyBorder="1" applyAlignment="1" applyProtection="1">
      <alignment horizontal="center" vertical="center"/>
      <protection/>
    </xf>
    <xf numFmtId="0" fontId="19" fillId="34" borderId="10" xfId="0" applyNumberFormat="1" applyFont="1" applyFill="1" applyBorder="1" applyAlignment="1" applyProtection="1">
      <alignment horizontal="justify" vertical="center" wrapText="1"/>
      <protection/>
    </xf>
    <xf numFmtId="174" fontId="19" fillId="34" borderId="10" xfId="48" applyNumberFormat="1" applyFont="1" applyFill="1" applyBorder="1" applyAlignment="1" applyProtection="1" quotePrefix="1">
      <alignment horizontal="center" vertical="center"/>
      <protection/>
    </xf>
    <xf numFmtId="0" fontId="13" fillId="34" borderId="10" xfId="0" applyFont="1" applyFill="1" applyBorder="1" applyAlignment="1" applyProtection="1">
      <alignment horizontal="center" vertical="center"/>
      <protection/>
    </xf>
    <xf numFmtId="9" fontId="14" fillId="34" borderId="10" xfId="0" applyNumberFormat="1" applyFont="1" applyFill="1" applyBorder="1" applyAlignment="1" applyProtection="1">
      <alignment horizontal="center" vertical="center" wrapText="1"/>
      <protection/>
    </xf>
    <xf numFmtId="0" fontId="101" fillId="34" borderId="10" xfId="0" applyFont="1" applyFill="1" applyBorder="1" applyAlignment="1" applyProtection="1">
      <alignment horizontal="center" vertical="center" wrapText="1"/>
      <protection/>
    </xf>
    <xf numFmtId="0" fontId="101" fillId="34" borderId="10" xfId="0" applyFont="1" applyFill="1" applyBorder="1" applyAlignment="1" applyProtection="1">
      <alignment horizontal="justify" vertical="center" wrapText="1"/>
      <protection/>
    </xf>
    <xf numFmtId="0" fontId="101" fillId="34" borderId="10" xfId="0" applyFont="1" applyFill="1" applyBorder="1" applyAlignment="1" applyProtection="1">
      <alignment horizontal="left" vertical="center" wrapText="1"/>
      <protection/>
    </xf>
    <xf numFmtId="0" fontId="101" fillId="34" borderId="12" xfId="0" applyFont="1" applyFill="1" applyBorder="1" applyAlignment="1" applyProtection="1">
      <alignment horizontal="center" vertical="center" wrapText="1"/>
      <protection/>
    </xf>
    <xf numFmtId="0" fontId="102" fillId="34" borderId="12" xfId="0" applyFont="1" applyFill="1" applyBorder="1" applyAlignment="1" applyProtection="1">
      <alignment vertical="top" wrapText="1"/>
      <protection/>
    </xf>
    <xf numFmtId="0" fontId="101" fillId="34" borderId="12" xfId="0" applyFont="1" applyFill="1" applyBorder="1" applyAlignment="1" applyProtection="1">
      <alignment horizontal="justify" vertical="center" wrapText="1"/>
      <protection/>
    </xf>
    <xf numFmtId="0" fontId="101" fillId="34" borderId="12" xfId="0" applyFont="1" applyFill="1" applyBorder="1" applyAlignment="1" applyProtection="1">
      <alignment horizontal="center" vertical="center"/>
      <protection/>
    </xf>
    <xf numFmtId="0" fontId="101" fillId="34" borderId="12" xfId="0" applyFont="1" applyFill="1" applyBorder="1" applyAlignment="1" applyProtection="1">
      <alignment horizontal="left" vertical="center" wrapText="1"/>
      <protection/>
    </xf>
    <xf numFmtId="174" fontId="101" fillId="0" borderId="10" xfId="48" applyNumberFormat="1" applyFont="1" applyFill="1" applyBorder="1" applyAlignment="1" applyProtection="1" quotePrefix="1">
      <alignment horizontal="center" vertical="center"/>
      <protection/>
    </xf>
    <xf numFmtId="174" fontId="101" fillId="0" borderId="12" xfId="48" applyNumberFormat="1" applyFont="1" applyFill="1" applyBorder="1" applyAlignment="1" applyProtection="1" quotePrefix="1">
      <alignment horizontal="center" vertical="center"/>
      <protection/>
    </xf>
    <xf numFmtId="174" fontId="101" fillId="34" borderId="10" xfId="48" applyNumberFormat="1" applyFont="1" applyFill="1" applyBorder="1" applyAlignment="1" applyProtection="1" quotePrefix="1">
      <alignment horizontal="center" vertical="center"/>
      <protection/>
    </xf>
    <xf numFmtId="174" fontId="101" fillId="34" borderId="12" xfId="48" applyNumberFormat="1" applyFont="1" applyFill="1" applyBorder="1" applyAlignment="1" applyProtection="1" quotePrefix="1">
      <alignment horizontal="center" vertical="center"/>
      <protection/>
    </xf>
    <xf numFmtId="0" fontId="104" fillId="0" borderId="10" xfId="0" applyFont="1" applyFill="1" applyBorder="1" applyAlignment="1" applyProtection="1">
      <alignment horizontal="center" vertical="center" textRotation="90"/>
      <protection/>
    </xf>
    <xf numFmtId="0" fontId="25" fillId="34" borderId="10" xfId="0" applyFont="1" applyFill="1" applyBorder="1" applyAlignment="1" applyProtection="1">
      <alignment horizontal="center" vertical="center"/>
      <protection/>
    </xf>
    <xf numFmtId="0" fontId="25" fillId="34" borderId="10" xfId="0" applyFont="1" applyFill="1" applyBorder="1" applyAlignment="1" applyProtection="1">
      <alignment horizontal="justify" vertical="center" wrapText="1"/>
      <protection/>
    </xf>
    <xf numFmtId="0" fontId="25" fillId="34" borderId="10" xfId="0" applyFont="1" applyFill="1" applyBorder="1" applyAlignment="1" applyProtection="1">
      <alignment horizontal="center" vertical="center" wrapText="1"/>
      <protection/>
    </xf>
    <xf numFmtId="0" fontId="18" fillId="36" borderId="10" xfId="0" applyNumberFormat="1" applyFont="1" applyFill="1" applyBorder="1" applyAlignment="1" applyProtection="1">
      <alignment horizontal="center" vertical="center" wrapText="1"/>
      <protection/>
    </xf>
    <xf numFmtId="0" fontId="18" fillId="36" borderId="10" xfId="0" applyNumberFormat="1" applyFont="1" applyFill="1" applyBorder="1" applyAlignment="1" applyProtection="1">
      <alignment vertical="center" wrapText="1"/>
      <protection/>
    </xf>
    <xf numFmtId="0" fontId="18" fillId="36" borderId="10" xfId="0" applyNumberFormat="1" applyFont="1" applyFill="1" applyBorder="1" applyAlignment="1" applyProtection="1">
      <alignment horizontal="justify" vertical="center" wrapText="1"/>
      <protection/>
    </xf>
    <xf numFmtId="0" fontId="105" fillId="36" borderId="10" xfId="0" applyNumberFormat="1" applyFont="1" applyFill="1" applyBorder="1" applyAlignment="1" applyProtection="1">
      <alignment horizontal="center" vertical="center" wrapText="1"/>
      <protection/>
    </xf>
    <xf numFmtId="0" fontId="105" fillId="36" borderId="10" xfId="0" applyNumberFormat="1" applyFont="1" applyFill="1" applyBorder="1" applyAlignment="1" applyProtection="1">
      <alignment horizontal="justify" vertical="center" wrapText="1"/>
      <protection/>
    </xf>
    <xf numFmtId="0" fontId="105" fillId="36" borderId="10" xfId="0" applyNumberFormat="1" applyFont="1" applyFill="1" applyBorder="1" applyAlignment="1" applyProtection="1">
      <alignment vertical="center" wrapText="1"/>
      <protection/>
    </xf>
    <xf numFmtId="0" fontId="95" fillId="36" borderId="10" xfId="0" applyFont="1" applyFill="1" applyBorder="1" applyAlignment="1" applyProtection="1">
      <alignment horizontal="justify" vertical="center" wrapText="1"/>
      <protection/>
    </xf>
    <xf numFmtId="0" fontId="95" fillId="36" borderId="10" xfId="0" applyFont="1" applyFill="1" applyBorder="1" applyAlignment="1" applyProtection="1">
      <alignment horizontal="center" vertical="center"/>
      <protection/>
    </xf>
    <xf numFmtId="0" fontId="95" fillId="36" borderId="10" xfId="0" applyFont="1" applyFill="1" applyBorder="1" applyAlignment="1" applyProtection="1">
      <alignment horizontal="center" vertical="center"/>
      <protection/>
    </xf>
    <xf numFmtId="0" fontId="95" fillId="36" borderId="10" xfId="0" applyFont="1" applyFill="1" applyBorder="1" applyAlignment="1" applyProtection="1">
      <alignment vertical="center"/>
      <protection/>
    </xf>
    <xf numFmtId="0" fontId="95" fillId="36" borderId="10" xfId="0" applyNumberFormat="1" applyFont="1" applyFill="1" applyBorder="1" applyAlignment="1" applyProtection="1">
      <alignment horizontal="center" vertical="center" wrapText="1"/>
      <protection/>
    </xf>
    <xf numFmtId="0" fontId="106" fillId="36" borderId="10" xfId="0" applyFont="1" applyFill="1" applyBorder="1" applyAlignment="1" applyProtection="1">
      <alignment horizontal="justify" vertical="center" wrapText="1"/>
      <protection locked="0"/>
    </xf>
    <xf numFmtId="0" fontId="0" fillId="34" borderId="0" xfId="0" applyFill="1" applyAlignment="1" applyProtection="1">
      <alignment vertical="center"/>
      <protection locked="0"/>
    </xf>
    <xf numFmtId="0" fontId="25" fillId="34" borderId="10" xfId="0" applyFont="1" applyFill="1" applyBorder="1" applyAlignment="1" applyProtection="1" quotePrefix="1">
      <alignment horizontal="center" vertical="center"/>
      <protection/>
    </xf>
    <xf numFmtId="177" fontId="25" fillId="34" borderId="10" xfId="56" applyNumberFormat="1" applyFont="1" applyFill="1" applyBorder="1" applyAlignment="1" applyProtection="1">
      <alignment horizontal="center" vertical="center" wrapText="1"/>
      <protection/>
    </xf>
    <xf numFmtId="0" fontId="25" fillId="34" borderId="10" xfId="0" applyFont="1" applyFill="1" applyBorder="1" applyAlignment="1" applyProtection="1">
      <alignment horizontal="justify" vertical="center"/>
      <protection locked="0"/>
    </xf>
    <xf numFmtId="0" fontId="25" fillId="34" borderId="0" xfId="0" applyFont="1" applyFill="1" applyAlignment="1" applyProtection="1">
      <alignment horizontal="justify" vertical="center"/>
      <protection locked="0"/>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0" xfId="0" applyFont="1" applyAlignment="1" applyProtection="1">
      <alignment vertical="center" wrapText="1"/>
      <protection locked="0"/>
    </xf>
    <xf numFmtId="0" fontId="18" fillId="35" borderId="10" xfId="0" applyNumberFormat="1" applyFont="1" applyFill="1" applyBorder="1" applyAlignment="1" applyProtection="1">
      <alignment horizontal="center" vertical="center" wrapText="1"/>
      <protection locked="0"/>
    </xf>
    <xf numFmtId="0" fontId="18" fillId="35" borderId="10" xfId="0" applyNumberFormat="1" applyFont="1" applyFill="1" applyBorder="1" applyAlignment="1" applyProtection="1">
      <alignment vertical="center" wrapText="1"/>
      <protection locked="0"/>
    </xf>
    <xf numFmtId="0" fontId="18" fillId="35" borderId="10" xfId="0" applyNumberFormat="1" applyFont="1" applyFill="1" applyBorder="1" applyAlignment="1" applyProtection="1">
      <alignment horizontal="justify" vertical="center" wrapText="1"/>
      <protection locked="0"/>
    </xf>
    <xf numFmtId="0" fontId="105" fillId="35" borderId="10" xfId="0" applyNumberFormat="1" applyFont="1" applyFill="1" applyBorder="1" applyAlignment="1" applyProtection="1">
      <alignment horizontal="center" vertical="center" wrapText="1"/>
      <protection locked="0"/>
    </xf>
    <xf numFmtId="0" fontId="105" fillId="35" borderId="10" xfId="0" applyNumberFormat="1" applyFont="1" applyFill="1" applyBorder="1" applyAlignment="1" applyProtection="1">
      <alignment horizontal="justify" vertical="center" wrapText="1"/>
      <protection locked="0"/>
    </xf>
    <xf numFmtId="0" fontId="105" fillId="35" borderId="10" xfId="0" applyNumberFormat="1" applyFont="1" applyFill="1" applyBorder="1" applyAlignment="1" applyProtection="1">
      <alignment vertical="center" wrapText="1"/>
      <protection locked="0"/>
    </xf>
    <xf numFmtId="0" fontId="95" fillId="35" borderId="10" xfId="0" applyFont="1" applyFill="1" applyBorder="1" applyAlignment="1" applyProtection="1">
      <alignment horizontal="justify" vertical="center" wrapText="1"/>
      <protection locked="0"/>
    </xf>
    <xf numFmtId="0" fontId="95" fillId="35" borderId="10" xfId="0" applyFont="1" applyFill="1" applyBorder="1" applyAlignment="1" applyProtection="1">
      <alignment horizontal="center" vertical="center"/>
      <protection locked="0"/>
    </xf>
    <xf numFmtId="0" fontId="95" fillId="35" borderId="10" xfId="0" applyFont="1" applyFill="1" applyBorder="1" applyAlignment="1" applyProtection="1">
      <alignment horizontal="center" vertical="center"/>
      <protection locked="0"/>
    </xf>
    <xf numFmtId="0" fontId="95" fillId="35" borderId="10" xfId="0" applyFont="1" applyFill="1" applyBorder="1" applyAlignment="1" applyProtection="1">
      <alignment vertical="center"/>
      <protection locked="0"/>
    </xf>
    <xf numFmtId="0" fontId="95" fillId="35" borderId="10" xfId="0" applyNumberFormat="1" applyFont="1" applyFill="1" applyBorder="1" applyAlignment="1" applyProtection="1">
      <alignment horizontal="center" vertical="center" wrapText="1"/>
      <protection locked="0"/>
    </xf>
    <xf numFmtId="9" fontId="107" fillId="35" borderId="10" xfId="60" applyNumberFormat="1" applyFont="1" applyFill="1" applyBorder="1" applyAlignment="1" applyProtection="1">
      <alignment horizontal="center" vertical="center" wrapText="1"/>
      <protection locked="0"/>
    </xf>
    <xf numFmtId="0" fontId="106" fillId="35" borderId="10" xfId="0" applyFont="1" applyFill="1" applyBorder="1" applyAlignment="1" applyProtection="1">
      <alignment horizontal="justify" vertical="center" wrapText="1"/>
      <protection locked="0"/>
    </xf>
    <xf numFmtId="173" fontId="23" fillId="34" borderId="10" xfId="0" applyNumberFormat="1" applyFont="1" applyFill="1" applyBorder="1" applyAlignment="1" applyProtection="1">
      <alignment horizontal="justify" vertical="center" wrapText="1"/>
      <protection locked="0"/>
    </xf>
    <xf numFmtId="0" fontId="19" fillId="0" borderId="10" xfId="0" applyFont="1" applyFill="1" applyBorder="1" applyAlignment="1" applyProtection="1">
      <alignment horizontal="justify" vertical="center" wrapText="1"/>
      <protection locked="0"/>
    </xf>
    <xf numFmtId="0" fontId="101" fillId="34" borderId="10" xfId="0" applyFont="1" applyFill="1" applyBorder="1" applyAlignment="1" applyProtection="1">
      <alignment horizontal="center" vertical="center"/>
      <protection locked="0"/>
    </xf>
    <xf numFmtId="9" fontId="27" fillId="0" borderId="10" xfId="60" applyNumberFormat="1" applyFont="1" applyFill="1" applyBorder="1" applyAlignment="1" applyProtection="1">
      <alignment horizontal="center" vertical="center" wrapText="1"/>
      <protection locked="0"/>
    </xf>
    <xf numFmtId="173" fontId="27" fillId="34" borderId="10" xfId="60" applyNumberFormat="1" applyFont="1" applyFill="1" applyBorder="1" applyAlignment="1" applyProtection="1">
      <alignment horizontal="center" vertical="center" wrapText="1"/>
      <protection locked="0"/>
    </xf>
    <xf numFmtId="9" fontId="24" fillId="37" borderId="10" xfId="60" applyNumberFormat="1" applyFont="1" applyFill="1" applyBorder="1" applyAlignment="1" applyProtection="1">
      <alignment horizontal="center" vertical="center" wrapText="1"/>
      <protection locked="0"/>
    </xf>
    <xf numFmtId="9" fontId="28" fillId="34" borderId="10" xfId="60" applyNumberFormat="1" applyFont="1" applyFill="1" applyBorder="1" applyAlignment="1" applyProtection="1">
      <alignment horizontal="center" vertical="center" wrapText="1"/>
      <protection locked="0"/>
    </xf>
    <xf numFmtId="9" fontId="28" fillId="37" borderId="10" xfId="60" applyNumberFormat="1" applyFont="1" applyFill="1" applyBorder="1" applyAlignment="1" applyProtection="1">
      <alignment horizontal="center" vertical="center" wrapText="1"/>
      <protection locked="0"/>
    </xf>
    <xf numFmtId="0" fontId="13" fillId="37" borderId="10" xfId="0" applyFont="1" applyFill="1" applyBorder="1" applyAlignment="1" applyProtection="1">
      <alignment horizontal="justify" vertical="center" wrapText="1"/>
      <protection locked="0"/>
    </xf>
    <xf numFmtId="0" fontId="108" fillId="0" borderId="14" xfId="0" applyFont="1" applyBorder="1" applyAlignment="1" applyProtection="1">
      <alignment horizontal="justify" wrapText="1"/>
      <protection locked="0"/>
    </xf>
    <xf numFmtId="0" fontId="26" fillId="0" borderId="10"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justify" vertical="center"/>
      <protection locked="0"/>
    </xf>
    <xf numFmtId="0" fontId="26" fillId="0" borderId="10" xfId="0" applyFont="1" applyFill="1" applyBorder="1" applyAlignment="1" applyProtection="1" quotePrefix="1">
      <alignment horizontal="left" vertical="center" wrapText="1"/>
      <protection locked="0"/>
    </xf>
    <xf numFmtId="0" fontId="23" fillId="0" borderId="10" xfId="0" applyFont="1" applyFill="1" applyBorder="1" applyAlignment="1" applyProtection="1">
      <alignment horizontal="justify" vertical="center"/>
      <protection locked="0"/>
    </xf>
    <xf numFmtId="0" fontId="23" fillId="0" borderId="10" xfId="0" applyFont="1" applyFill="1" applyBorder="1" applyAlignment="1" applyProtection="1" quotePrefix="1">
      <alignment horizontal="left" vertical="center" wrapText="1"/>
      <protection locked="0"/>
    </xf>
    <xf numFmtId="1" fontId="27" fillId="0" borderId="10" xfId="60" applyNumberFormat="1"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xf>
    <xf numFmtId="0" fontId="33" fillId="0" borderId="16" xfId="0" applyFont="1" applyBorder="1" applyAlignment="1">
      <alignment/>
    </xf>
    <xf numFmtId="0" fontId="33" fillId="0" borderId="0" xfId="0" applyFont="1" applyAlignment="1">
      <alignment/>
    </xf>
    <xf numFmtId="0" fontId="33" fillId="0" borderId="17" xfId="0" applyFont="1" applyBorder="1" applyAlignment="1">
      <alignment/>
    </xf>
    <xf numFmtId="0" fontId="33" fillId="0" borderId="18" xfId="0" applyFont="1" applyBorder="1" applyAlignment="1">
      <alignment/>
    </xf>
    <xf numFmtId="0" fontId="38" fillId="0" borderId="0" xfId="0" applyFont="1" applyAlignment="1" applyProtection="1">
      <alignment vertical="center"/>
      <protection/>
    </xf>
    <xf numFmtId="0" fontId="38" fillId="0" borderId="0" xfId="0" applyFont="1" applyFill="1" applyAlignment="1" applyProtection="1">
      <alignment vertical="center"/>
      <protection/>
    </xf>
    <xf numFmtId="0" fontId="39" fillId="0" borderId="0" xfId="0" applyFont="1" applyFill="1" applyAlignment="1" applyProtection="1">
      <alignment vertical="center"/>
      <protection/>
    </xf>
    <xf numFmtId="0" fontId="40" fillId="33" borderId="11" xfId="0" applyFont="1" applyFill="1" applyBorder="1" applyAlignment="1" applyProtection="1">
      <alignment horizontal="center" vertical="center" wrapText="1"/>
      <protection/>
    </xf>
    <xf numFmtId="0" fontId="40" fillId="33" borderId="15" xfId="0" applyFont="1" applyFill="1" applyBorder="1" applyAlignment="1" applyProtection="1">
      <alignment horizontal="center" vertical="center" wrapText="1"/>
      <protection/>
    </xf>
    <xf numFmtId="0" fontId="40" fillId="33" borderId="10" xfId="0" applyFont="1" applyFill="1" applyBorder="1" applyAlignment="1" applyProtection="1">
      <alignment horizontal="center" vertical="center" wrapText="1"/>
      <protection/>
    </xf>
    <xf numFmtId="0" fontId="40" fillId="33" borderId="12" xfId="0" applyFont="1" applyFill="1" applyBorder="1" applyAlignment="1" applyProtection="1">
      <alignment horizontal="center" vertical="center" wrapText="1"/>
      <protection/>
    </xf>
    <xf numFmtId="0" fontId="38" fillId="38" borderId="10" xfId="0" applyFont="1" applyFill="1" applyBorder="1" applyAlignment="1" applyProtection="1">
      <alignment horizontal="center" vertical="center" wrapText="1"/>
      <protection/>
    </xf>
    <xf numFmtId="172" fontId="41" fillId="38" borderId="10" xfId="0" applyNumberFormat="1" applyFont="1" applyFill="1" applyBorder="1" applyAlignment="1" applyProtection="1">
      <alignment horizontal="center" vertical="center"/>
      <protection/>
    </xf>
    <xf numFmtId="0" fontId="16" fillId="0" borderId="19" xfId="0" applyFont="1" applyFill="1" applyBorder="1" applyAlignment="1" applyProtection="1">
      <alignment vertical="center"/>
      <protection/>
    </xf>
    <xf numFmtId="3" fontId="16" fillId="0" borderId="20" xfId="0" applyNumberFormat="1" applyFont="1" applyFill="1" applyBorder="1" applyAlignment="1" applyProtection="1">
      <alignment horizontal="center" vertical="center"/>
      <protection locked="0"/>
    </xf>
    <xf numFmtId="3" fontId="16" fillId="0" borderId="20" xfId="0" applyNumberFormat="1" applyFont="1" applyFill="1" applyBorder="1" applyAlignment="1" applyProtection="1">
      <alignment horizontal="center" vertical="center"/>
      <protection/>
    </xf>
    <xf numFmtId="169" fontId="38" fillId="0" borderId="0" xfId="0" applyNumberFormat="1" applyFont="1" applyFill="1" applyAlignment="1" applyProtection="1">
      <alignment vertical="center"/>
      <protection/>
    </xf>
    <xf numFmtId="169" fontId="38" fillId="0" borderId="10" xfId="50" applyNumberFormat="1" applyFont="1" applyFill="1" applyBorder="1" applyAlignment="1" applyProtection="1">
      <alignment horizontal="center" vertical="center" wrapText="1"/>
      <protection/>
    </xf>
    <xf numFmtId="0" fontId="38" fillId="38" borderId="0" xfId="0" applyFont="1" applyFill="1" applyAlignment="1" applyProtection="1">
      <alignment vertical="center"/>
      <protection/>
    </xf>
    <xf numFmtId="0" fontId="16" fillId="0" borderId="21" xfId="0" applyFont="1" applyFill="1" applyBorder="1" applyAlignment="1" applyProtection="1">
      <alignment vertical="center"/>
      <protection/>
    </xf>
    <xf numFmtId="3" fontId="16" fillId="0" borderId="10" xfId="0" applyNumberFormat="1" applyFont="1" applyFill="1" applyBorder="1" applyAlignment="1" applyProtection="1">
      <alignment horizontal="center" vertical="center"/>
      <protection locked="0"/>
    </xf>
    <xf numFmtId="3" fontId="16" fillId="0" borderId="10" xfId="0" applyNumberFormat="1" applyFont="1" applyFill="1" applyBorder="1" applyAlignment="1" applyProtection="1">
      <alignment horizontal="center" vertical="center"/>
      <protection/>
    </xf>
    <xf numFmtId="3" fontId="16" fillId="0" borderId="22" xfId="0" applyNumberFormat="1" applyFont="1" applyFill="1" applyBorder="1" applyAlignment="1" applyProtection="1">
      <alignment horizontal="center" vertical="center"/>
      <protection/>
    </xf>
    <xf numFmtId="0" fontId="16" fillId="0" borderId="21" xfId="0" applyFont="1" applyFill="1" applyBorder="1" applyAlignment="1" applyProtection="1">
      <alignment/>
      <protection/>
    </xf>
    <xf numFmtId="0" fontId="17" fillId="0" borderId="21" xfId="0" applyFont="1" applyFill="1" applyBorder="1" applyAlignment="1" applyProtection="1">
      <alignment/>
      <protection/>
    </xf>
    <xf numFmtId="3" fontId="17" fillId="0" borderId="10" xfId="0" applyNumberFormat="1" applyFont="1" applyFill="1" applyBorder="1" applyAlignment="1" applyProtection="1">
      <alignment horizontal="center" vertical="center"/>
      <protection/>
    </xf>
    <xf numFmtId="3" fontId="17" fillId="0" borderId="22" xfId="0" applyNumberFormat="1" applyFont="1" applyFill="1" applyBorder="1" applyAlignment="1" applyProtection="1">
      <alignment horizontal="center" vertical="center"/>
      <protection/>
    </xf>
    <xf numFmtId="0" fontId="17" fillId="0" borderId="23" xfId="0" applyFont="1" applyFill="1" applyBorder="1" applyAlignment="1" applyProtection="1">
      <alignment/>
      <protection/>
    </xf>
    <xf numFmtId="3" fontId="17" fillId="0" borderId="12" xfId="0" applyNumberFormat="1" applyFont="1" applyFill="1" applyBorder="1" applyAlignment="1" applyProtection="1">
      <alignment horizontal="center" vertical="center"/>
      <protection/>
    </xf>
    <xf numFmtId="3" fontId="17" fillId="0" borderId="24" xfId="0" applyNumberFormat="1" applyFont="1" applyFill="1" applyBorder="1" applyAlignment="1" applyProtection="1">
      <alignment horizontal="center" vertical="center"/>
      <protection/>
    </xf>
    <xf numFmtId="0" fontId="16" fillId="0" borderId="25" xfId="0" applyFont="1" applyFill="1" applyBorder="1" applyAlignment="1" applyProtection="1">
      <alignment/>
      <protection/>
    </xf>
    <xf numFmtId="3" fontId="16" fillId="0" borderId="26" xfId="0" applyNumberFormat="1" applyFont="1" applyFill="1" applyBorder="1" applyAlignment="1" applyProtection="1">
      <alignment horizontal="center" vertical="center"/>
      <protection locked="0"/>
    </xf>
    <xf numFmtId="3" fontId="16" fillId="0" borderId="26" xfId="0" applyNumberFormat="1" applyFont="1" applyFill="1" applyBorder="1" applyAlignment="1" applyProtection="1">
      <alignment horizontal="center" vertical="center"/>
      <protection/>
    </xf>
    <xf numFmtId="3" fontId="16" fillId="0" borderId="27" xfId="0" applyNumberFormat="1" applyFont="1" applyFill="1" applyBorder="1" applyAlignment="1" applyProtection="1">
      <alignment horizontal="center" vertical="center"/>
      <protection/>
    </xf>
    <xf numFmtId="0" fontId="38" fillId="39" borderId="10" xfId="0" applyFont="1" applyFill="1" applyBorder="1" applyAlignment="1" applyProtection="1">
      <alignment vertical="center"/>
      <protection/>
    </xf>
    <xf numFmtId="0" fontId="38" fillId="0" borderId="10" xfId="0" applyFont="1" applyFill="1" applyBorder="1" applyAlignment="1" applyProtection="1">
      <alignment vertical="center"/>
      <protection/>
    </xf>
    <xf numFmtId="0" fontId="43" fillId="39" borderId="10" xfId="0" applyFont="1" applyFill="1" applyBorder="1" applyAlignment="1" applyProtection="1">
      <alignment vertical="center"/>
      <protection/>
    </xf>
    <xf numFmtId="169" fontId="39" fillId="39" borderId="10" xfId="0" applyNumberFormat="1" applyFont="1" applyFill="1" applyBorder="1" applyAlignment="1" applyProtection="1">
      <alignment vertical="center"/>
      <protection/>
    </xf>
    <xf numFmtId="182" fontId="38" fillId="0" borderId="0" xfId="50" applyNumberFormat="1" applyFont="1" applyAlignment="1" applyProtection="1">
      <alignment/>
      <protection/>
    </xf>
    <xf numFmtId="169" fontId="38" fillId="0" borderId="0" xfId="0" applyNumberFormat="1" applyFont="1" applyAlignment="1" applyProtection="1">
      <alignment vertical="center"/>
      <protection/>
    </xf>
    <xf numFmtId="183" fontId="38" fillId="0" borderId="0" xfId="0" applyNumberFormat="1" applyFont="1" applyAlignment="1" applyProtection="1">
      <alignment vertical="center"/>
      <protection/>
    </xf>
    <xf numFmtId="1" fontId="38" fillId="0" borderId="0" xfId="0" applyNumberFormat="1" applyFont="1" applyAlignment="1" applyProtection="1">
      <alignment vertical="center"/>
      <protection/>
    </xf>
    <xf numFmtId="184" fontId="38" fillId="0" borderId="0" xfId="0" applyNumberFormat="1" applyFont="1" applyFill="1" applyAlignment="1" applyProtection="1">
      <alignment vertical="center"/>
      <protection/>
    </xf>
    <xf numFmtId="185" fontId="38" fillId="0" borderId="0" xfId="0" applyNumberFormat="1" applyFont="1" applyFill="1" applyAlignment="1" applyProtection="1">
      <alignment vertical="center"/>
      <protection/>
    </xf>
    <xf numFmtId="2" fontId="38" fillId="0" borderId="0" xfId="0" applyNumberFormat="1" applyFont="1" applyAlignment="1" applyProtection="1">
      <alignment vertical="center"/>
      <protection/>
    </xf>
    <xf numFmtId="186" fontId="38" fillId="0" borderId="0" xfId="0" applyNumberFormat="1" applyFont="1" applyAlignment="1" applyProtection="1">
      <alignment vertical="center"/>
      <protection/>
    </xf>
    <xf numFmtId="171" fontId="38" fillId="0" borderId="0" xfId="50" applyFont="1" applyAlignment="1" applyProtection="1">
      <alignment vertical="center"/>
      <protection/>
    </xf>
    <xf numFmtId="0" fontId="38" fillId="0" borderId="0" xfId="0" applyFont="1" applyAlignment="1" applyProtection="1">
      <alignment horizontal="left" vertical="center"/>
      <protection/>
    </xf>
    <xf numFmtId="187" fontId="38" fillId="0" borderId="0" xfId="0" applyNumberFormat="1" applyFont="1" applyAlignment="1" applyProtection="1">
      <alignment vertical="center"/>
      <protection/>
    </xf>
    <xf numFmtId="188" fontId="38" fillId="0" borderId="0" xfId="0" applyNumberFormat="1" applyFont="1" applyAlignment="1" applyProtection="1">
      <alignment vertical="center"/>
      <protection/>
    </xf>
    <xf numFmtId="174" fontId="38" fillId="40" borderId="14" xfId="50" applyNumberFormat="1" applyFont="1" applyFill="1" applyBorder="1" applyAlignment="1" applyProtection="1">
      <alignment vertical="center"/>
      <protection/>
    </xf>
    <xf numFmtId="9" fontId="38" fillId="0" borderId="0" xfId="62" applyFont="1" applyAlignment="1" applyProtection="1">
      <alignment vertical="center"/>
      <protection/>
    </xf>
    <xf numFmtId="174" fontId="38" fillId="0" borderId="0" xfId="50" applyNumberFormat="1" applyFont="1" applyAlignment="1" applyProtection="1">
      <alignment vertical="center"/>
      <protection/>
    </xf>
    <xf numFmtId="174" fontId="38" fillId="40" borderId="14" xfId="0" applyNumberFormat="1" applyFont="1" applyFill="1" applyBorder="1" applyAlignment="1" applyProtection="1">
      <alignment vertical="center"/>
      <protection/>
    </xf>
    <xf numFmtId="0" fontId="33" fillId="0" borderId="28" xfId="0" applyFont="1" applyBorder="1" applyAlignment="1">
      <alignment wrapText="1"/>
    </xf>
    <xf numFmtId="0" fontId="33" fillId="0" borderId="0" xfId="0" applyFont="1" applyBorder="1" applyAlignment="1">
      <alignment wrapText="1"/>
    </xf>
    <xf numFmtId="0" fontId="33" fillId="0" borderId="29" xfId="0" applyFont="1" applyBorder="1" applyAlignment="1">
      <alignment wrapText="1"/>
    </xf>
    <xf numFmtId="0" fontId="7" fillId="0" borderId="0" xfId="0" applyFont="1" applyAlignment="1" applyProtection="1">
      <alignment vertical="center"/>
      <protection/>
    </xf>
    <xf numFmtId="0" fontId="3" fillId="33" borderId="30" xfId="0" applyFont="1" applyFill="1" applyBorder="1" applyAlignment="1" applyProtection="1">
      <alignment horizontal="center" vertical="center" wrapText="1"/>
      <protection/>
    </xf>
    <xf numFmtId="0" fontId="3" fillId="33" borderId="31" xfId="0" applyFont="1" applyFill="1" applyBorder="1" applyAlignment="1" applyProtection="1">
      <alignment vertical="center" wrapText="1"/>
      <protection/>
    </xf>
    <xf numFmtId="3" fontId="4" fillId="33" borderId="11" xfId="0" applyNumberFormat="1" applyFont="1" applyFill="1" applyBorder="1" applyAlignment="1" applyProtection="1">
      <alignment horizontal="center" vertical="center" wrapText="1"/>
      <protection/>
    </xf>
    <xf numFmtId="189" fontId="44" fillId="0" borderId="10" xfId="0" applyNumberFormat="1" applyFont="1" applyFill="1" applyBorder="1" applyAlignment="1" applyProtection="1">
      <alignment horizontal="center" vertical="center"/>
      <protection/>
    </xf>
    <xf numFmtId="0" fontId="44" fillId="0" borderId="10" xfId="0" applyFont="1" applyFill="1" applyBorder="1" applyAlignment="1" applyProtection="1">
      <alignment horizontal="center" vertical="center"/>
      <protection/>
    </xf>
    <xf numFmtId="0" fontId="38" fillId="0" borderId="10" xfId="0" applyFont="1" applyFill="1" applyBorder="1" applyAlignment="1" applyProtection="1">
      <alignment horizontal="justify" vertical="center" wrapText="1"/>
      <protection/>
    </xf>
    <xf numFmtId="0" fontId="44" fillId="0" borderId="10" xfId="0" applyFont="1" applyFill="1" applyBorder="1" applyAlignment="1" applyProtection="1">
      <alignment horizontal="center" vertical="center" wrapText="1"/>
      <protection/>
    </xf>
    <xf numFmtId="0" fontId="44" fillId="0" borderId="10" xfId="0" applyFont="1" applyFill="1" applyBorder="1" applyAlignment="1" applyProtection="1">
      <alignment horizontal="left" vertical="center" wrapText="1"/>
      <protection/>
    </xf>
    <xf numFmtId="173" fontId="42" fillId="0" borderId="10" xfId="0" applyNumberFormat="1" applyFont="1" applyFill="1" applyBorder="1" applyAlignment="1" applyProtection="1">
      <alignment horizontal="center" vertical="center" wrapText="1"/>
      <protection/>
    </xf>
    <xf numFmtId="10" fontId="42" fillId="0" borderId="10" xfId="60" applyNumberFormat="1" applyFont="1" applyFill="1" applyBorder="1" applyAlignment="1" applyProtection="1">
      <alignment horizontal="center" vertical="center" wrapText="1"/>
      <protection locked="0"/>
    </xf>
    <xf numFmtId="190" fontId="45" fillId="41" borderId="10" xfId="0" applyNumberFormat="1" applyFont="1" applyFill="1" applyBorder="1" applyAlignment="1" applyProtection="1">
      <alignment horizontal="center" vertical="center" wrapText="1"/>
      <protection/>
    </xf>
    <xf numFmtId="190" fontId="42" fillId="0" borderId="10" xfId="0" applyNumberFormat="1" applyFont="1" applyFill="1" applyBorder="1" applyAlignment="1" applyProtection="1">
      <alignment horizontal="center" vertical="center" wrapText="1"/>
      <protection locked="0"/>
    </xf>
    <xf numFmtId="3" fontId="44" fillId="0" borderId="10" xfId="0" applyNumberFormat="1" applyFont="1" applyFill="1" applyBorder="1" applyAlignment="1" applyProtection="1">
      <alignment horizontal="center" vertical="center"/>
      <protection locked="0"/>
    </xf>
    <xf numFmtId="0" fontId="42" fillId="0" borderId="10" xfId="0" applyFont="1" applyFill="1" applyBorder="1" applyAlignment="1" applyProtection="1">
      <alignment horizontal="justify" vertical="top" wrapText="1"/>
      <protection locked="0"/>
    </xf>
    <xf numFmtId="0" fontId="44" fillId="0" borderId="10" xfId="0" applyFont="1" applyFill="1" applyBorder="1" applyAlignment="1" applyProtection="1">
      <alignment vertical="center"/>
      <protection locked="0"/>
    </xf>
    <xf numFmtId="173" fontId="44" fillId="0" borderId="10" xfId="62" applyNumberFormat="1"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3" fontId="0" fillId="0" borderId="0" xfId="0" applyNumberFormat="1" applyFill="1" applyAlignment="1" applyProtection="1">
      <alignment vertical="center"/>
      <protection/>
    </xf>
    <xf numFmtId="0" fontId="44" fillId="0" borderId="10" xfId="0" applyFont="1" applyFill="1" applyBorder="1" applyAlignment="1" applyProtection="1">
      <alignment horizontal="center" vertical="center" wrapText="1"/>
      <protection locked="0"/>
    </xf>
    <xf numFmtId="3" fontId="44" fillId="0" borderId="10" xfId="0" applyNumberFormat="1" applyFont="1" applyFill="1" applyBorder="1" applyAlignment="1" applyProtection="1">
      <alignment horizontal="justify" vertical="center" wrapText="1"/>
      <protection locked="0"/>
    </xf>
    <xf numFmtId="189" fontId="46" fillId="0" borderId="0" xfId="0" applyNumberFormat="1" applyFont="1" applyFill="1" applyBorder="1" applyAlignment="1" applyProtection="1">
      <alignment horizontal="center" vertical="center"/>
      <protection/>
    </xf>
    <xf numFmtId="0" fontId="3" fillId="42" borderId="10" xfId="0" applyFont="1" applyFill="1" applyBorder="1" applyAlignment="1" applyProtection="1">
      <alignment horizontal="center" vertical="center"/>
      <protection/>
    </xf>
    <xf numFmtId="0" fontId="3" fillId="42" borderId="10" xfId="0" applyFont="1" applyFill="1" applyBorder="1" applyAlignment="1" applyProtection="1">
      <alignment horizontal="left" vertical="center" wrapText="1"/>
      <protection/>
    </xf>
    <xf numFmtId="9" fontId="3" fillId="42" borderId="10" xfId="0" applyNumberFormat="1" applyFont="1" applyFill="1" applyBorder="1" applyAlignment="1" applyProtection="1">
      <alignment horizontal="center" vertical="center" wrapText="1"/>
      <protection/>
    </xf>
    <xf numFmtId="9" fontId="47" fillId="42" borderId="10" xfId="0" applyNumberFormat="1" applyFont="1" applyFill="1" applyBorder="1" applyAlignment="1" applyProtection="1">
      <alignment horizontal="center" vertical="center" wrapText="1"/>
      <protection/>
    </xf>
    <xf numFmtId="3" fontId="3" fillId="42" borderId="10" xfId="0" applyNumberFormat="1" applyFont="1" applyFill="1" applyBorder="1" applyAlignment="1" applyProtection="1">
      <alignment horizontal="center" vertical="center"/>
      <protection/>
    </xf>
    <xf numFmtId="3" fontId="3" fillId="42" borderId="12" xfId="0" applyNumberFormat="1" applyFont="1" applyFill="1" applyBorder="1" applyAlignment="1" applyProtection="1">
      <alignment horizontal="center" vertical="center"/>
      <protection/>
    </xf>
    <xf numFmtId="3" fontId="48" fillId="43" borderId="10" xfId="0" applyNumberFormat="1" applyFont="1" applyFill="1" applyBorder="1" applyAlignment="1" applyProtection="1">
      <alignment horizontal="center" vertical="center"/>
      <protection/>
    </xf>
    <xf numFmtId="0" fontId="30" fillId="0" borderId="0" xfId="0" applyFont="1" applyAlignment="1" applyProtection="1">
      <alignment vertical="center"/>
      <protection/>
    </xf>
    <xf numFmtId="174" fontId="1" fillId="0" borderId="0" xfId="50" applyNumberFormat="1" applyFont="1" applyAlignment="1" applyProtection="1">
      <alignment vertical="center"/>
      <protection/>
    </xf>
    <xf numFmtId="174" fontId="1" fillId="0" borderId="0" xfId="50" applyNumberFormat="1" applyFont="1" applyFill="1" applyAlignment="1" applyProtection="1">
      <alignment vertical="center"/>
      <protection/>
    </xf>
    <xf numFmtId="3" fontId="49" fillId="0" borderId="0" xfId="0" applyNumberFormat="1" applyFont="1" applyBorder="1" applyAlignment="1">
      <alignment horizontal="center" vertical="center" wrapText="1"/>
    </xf>
    <xf numFmtId="174" fontId="0" fillId="0" borderId="0" xfId="0" applyNumberFormat="1" applyAlignment="1" applyProtection="1">
      <alignment vertical="center"/>
      <protection/>
    </xf>
    <xf numFmtId="191" fontId="0" fillId="0" borderId="0" xfId="0" applyNumberFormat="1" applyAlignment="1" applyProtection="1">
      <alignment vertical="center"/>
      <protection/>
    </xf>
    <xf numFmtId="170" fontId="1" fillId="0" borderId="0" xfId="53" applyFont="1" applyBorder="1" applyAlignment="1" applyProtection="1">
      <alignment vertical="center"/>
      <protection/>
    </xf>
    <xf numFmtId="3" fontId="0" fillId="0" borderId="0" xfId="0" applyNumberFormat="1" applyAlignment="1" applyProtection="1">
      <alignment vertical="center"/>
      <protection/>
    </xf>
    <xf numFmtId="192" fontId="0" fillId="0" borderId="0" xfId="0" applyNumberFormat="1" applyAlignment="1" applyProtection="1">
      <alignment vertical="center"/>
      <protection/>
    </xf>
    <xf numFmtId="3" fontId="0" fillId="0" borderId="0" xfId="0" applyNumberFormat="1" applyBorder="1" applyAlignment="1" applyProtection="1">
      <alignment vertical="center"/>
      <protection/>
    </xf>
    <xf numFmtId="0" fontId="30" fillId="0" borderId="0" xfId="0" applyFont="1" applyFill="1" applyAlignment="1" applyProtection="1">
      <alignment vertical="center"/>
      <protection/>
    </xf>
    <xf numFmtId="9"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4" fillId="38" borderId="10" xfId="0" applyFont="1" applyFill="1" applyBorder="1" applyAlignment="1" applyProtection="1">
      <alignment horizontal="center" vertical="center" wrapText="1"/>
      <protection/>
    </xf>
    <xf numFmtId="172" fontId="50" fillId="38" borderId="10" xfId="0" applyNumberFormat="1" applyFont="1" applyFill="1" applyBorder="1" applyAlignment="1" applyProtection="1">
      <alignment horizontal="center" vertical="center"/>
      <protection/>
    </xf>
    <xf numFmtId="0" fontId="51" fillId="0" borderId="19" xfId="0" applyFont="1" applyFill="1" applyBorder="1" applyAlignment="1" applyProtection="1">
      <alignment vertical="center"/>
      <protection/>
    </xf>
    <xf numFmtId="3" fontId="7" fillId="0" borderId="20" xfId="0" applyNumberFormat="1" applyFont="1" applyFill="1" applyBorder="1" applyAlignment="1" applyProtection="1">
      <alignment horizontal="center" vertical="center"/>
      <protection/>
    </xf>
    <xf numFmtId="3" fontId="7" fillId="0" borderId="32" xfId="0" applyNumberFormat="1" applyFont="1" applyFill="1" applyBorder="1" applyAlignment="1" applyProtection="1">
      <alignment horizontal="center" vertical="center"/>
      <protection/>
    </xf>
    <xf numFmtId="169" fontId="0" fillId="0" borderId="0" xfId="0" applyNumberFormat="1" applyFill="1" applyAlignment="1" applyProtection="1">
      <alignment vertical="center"/>
      <protection/>
    </xf>
    <xf numFmtId="170" fontId="44" fillId="0" borderId="10" xfId="53" applyFont="1" applyFill="1" applyBorder="1" applyAlignment="1" applyProtection="1">
      <alignment horizontal="center" vertical="center" wrapText="1"/>
      <protection/>
    </xf>
    <xf numFmtId="0" fontId="0" fillId="38" borderId="0" xfId="0" applyFill="1" applyAlignment="1" applyProtection="1">
      <alignment vertical="center"/>
      <protection/>
    </xf>
    <xf numFmtId="0" fontId="51" fillId="0" borderId="21" xfId="0" applyFont="1" applyFill="1" applyBorder="1" applyAlignment="1" applyProtection="1">
      <alignment vertical="center"/>
      <protection/>
    </xf>
    <xf numFmtId="3" fontId="7" fillId="0" borderId="10" xfId="0" applyNumberFormat="1" applyFont="1" applyFill="1" applyBorder="1" applyAlignment="1" applyProtection="1">
      <alignment horizontal="center" vertical="center"/>
      <protection/>
    </xf>
    <xf numFmtId="3" fontId="7" fillId="0" borderId="22" xfId="0" applyNumberFormat="1" applyFont="1" applyFill="1" applyBorder="1" applyAlignment="1" applyProtection="1">
      <alignment horizontal="center" vertical="center"/>
      <protection/>
    </xf>
    <xf numFmtId="169" fontId="44" fillId="0" borderId="10" xfId="50" applyNumberFormat="1" applyFont="1" applyFill="1" applyBorder="1" applyAlignment="1" applyProtection="1">
      <alignment horizontal="center" vertical="center" wrapText="1"/>
      <protection/>
    </xf>
    <xf numFmtId="0" fontId="7" fillId="0" borderId="21" xfId="0" applyFont="1" applyFill="1" applyBorder="1" applyAlignment="1" applyProtection="1">
      <alignment/>
      <protection/>
    </xf>
    <xf numFmtId="0" fontId="52" fillId="0" borderId="21" xfId="0" applyFont="1" applyFill="1" applyBorder="1" applyAlignment="1" applyProtection="1">
      <alignment/>
      <protection/>
    </xf>
    <xf numFmtId="3" fontId="52" fillId="0" borderId="10" xfId="0" applyNumberFormat="1" applyFont="1" applyFill="1" applyBorder="1" applyAlignment="1" applyProtection="1">
      <alignment horizontal="center" vertical="center"/>
      <protection/>
    </xf>
    <xf numFmtId="3" fontId="52" fillId="0" borderId="22" xfId="0" applyNumberFormat="1" applyFont="1" applyFill="1" applyBorder="1" applyAlignment="1" applyProtection="1">
      <alignment horizontal="center" vertical="center"/>
      <protection/>
    </xf>
    <xf numFmtId="0" fontId="7" fillId="0" borderId="25" xfId="0" applyFont="1" applyFill="1" applyBorder="1" applyAlignment="1" applyProtection="1">
      <alignment/>
      <protection/>
    </xf>
    <xf numFmtId="3" fontId="7" fillId="0" borderId="26" xfId="0" applyNumberFormat="1" applyFont="1" applyFill="1" applyBorder="1" applyAlignment="1" applyProtection="1">
      <alignment horizontal="center" vertical="center"/>
      <protection/>
    </xf>
    <xf numFmtId="3" fontId="7" fillId="0" borderId="27" xfId="0" applyNumberFormat="1" applyFont="1" applyFill="1" applyBorder="1" applyAlignment="1" applyProtection="1">
      <alignment horizontal="center" vertical="center"/>
      <protection/>
    </xf>
    <xf numFmtId="0" fontId="44" fillId="0" borderId="12" xfId="0" applyFont="1" applyFill="1" applyBorder="1" applyAlignment="1" applyProtection="1">
      <alignment horizontal="left" vertical="center" wrapText="1" indent="1"/>
      <protection/>
    </xf>
    <xf numFmtId="0" fontId="44" fillId="0" borderId="33" xfId="0" applyFont="1" applyFill="1" applyBorder="1" applyAlignment="1" applyProtection="1">
      <alignment horizontal="left" vertical="center" wrapText="1" indent="1"/>
      <protection/>
    </xf>
    <xf numFmtId="0" fontId="44" fillId="0" borderId="13" xfId="0" applyFont="1" applyFill="1" applyBorder="1" applyAlignment="1" applyProtection="1">
      <alignment horizontal="left" vertical="center" wrapText="1" indent="1"/>
      <protection/>
    </xf>
    <xf numFmtId="0" fontId="11" fillId="33" borderId="0" xfId="0" applyFont="1" applyFill="1" applyAlignment="1" applyProtection="1">
      <alignment vertical="center"/>
      <protection/>
    </xf>
    <xf numFmtId="0" fontId="11" fillId="33" borderId="10" xfId="0" applyFont="1" applyFill="1" applyBorder="1" applyAlignment="1" applyProtection="1">
      <alignment vertical="center"/>
      <protection/>
    </xf>
    <xf numFmtId="169" fontId="3" fillId="33" borderId="10" xfId="0" applyNumberFormat="1" applyFont="1" applyFill="1" applyBorder="1" applyAlignment="1" applyProtection="1">
      <alignment vertical="center"/>
      <protection/>
    </xf>
    <xf numFmtId="182" fontId="1" fillId="0" borderId="0" xfId="50" applyNumberFormat="1" applyFont="1" applyFill="1" applyAlignment="1" applyProtection="1">
      <alignment/>
      <protection/>
    </xf>
    <xf numFmtId="182" fontId="1" fillId="0" borderId="0" xfId="50" applyNumberFormat="1" applyFont="1" applyAlignment="1" applyProtection="1">
      <alignment/>
      <protection/>
    </xf>
    <xf numFmtId="169" fontId="0" fillId="0" borderId="0" xfId="0" applyNumberFormat="1" applyAlignment="1" applyProtection="1">
      <alignment vertical="center"/>
      <protection/>
    </xf>
    <xf numFmtId="183" fontId="0" fillId="0" borderId="0" xfId="0" applyNumberFormat="1" applyAlignment="1" applyProtection="1">
      <alignment vertical="center"/>
      <protection/>
    </xf>
    <xf numFmtId="1" fontId="0" fillId="0" borderId="0" xfId="0" applyNumberFormat="1" applyAlignment="1" applyProtection="1">
      <alignment vertical="center"/>
      <protection/>
    </xf>
    <xf numFmtId="184" fontId="0" fillId="0" borderId="0" xfId="0" applyNumberFormat="1" applyFill="1" applyAlignment="1" applyProtection="1">
      <alignment vertical="center"/>
      <protection/>
    </xf>
    <xf numFmtId="185" fontId="0" fillId="0" borderId="0" xfId="0" applyNumberFormat="1" applyFill="1" applyAlignment="1" applyProtection="1">
      <alignment vertical="center"/>
      <protection/>
    </xf>
    <xf numFmtId="2" fontId="0" fillId="0" borderId="0" xfId="0" applyNumberFormat="1" applyAlignment="1" applyProtection="1">
      <alignment vertical="center"/>
      <protection/>
    </xf>
    <xf numFmtId="186" fontId="0" fillId="0" borderId="0" xfId="0" applyNumberFormat="1" applyAlignment="1" applyProtection="1">
      <alignment vertical="center"/>
      <protection/>
    </xf>
    <xf numFmtId="171" fontId="1" fillId="0" borderId="0" xfId="50" applyFont="1" applyAlignment="1" applyProtection="1">
      <alignment vertical="center"/>
      <protection/>
    </xf>
    <xf numFmtId="187" fontId="0" fillId="0" borderId="0" xfId="0" applyNumberFormat="1" applyAlignment="1" applyProtection="1">
      <alignment vertical="center"/>
      <protection/>
    </xf>
    <xf numFmtId="188" fontId="0" fillId="0" borderId="0" xfId="0" applyNumberFormat="1" applyAlignment="1" applyProtection="1">
      <alignment vertical="center"/>
      <protection/>
    </xf>
    <xf numFmtId="174" fontId="1" fillId="40" borderId="14" xfId="50" applyNumberFormat="1" applyFont="1" applyFill="1" applyBorder="1" applyAlignment="1" applyProtection="1">
      <alignment vertical="center"/>
      <protection/>
    </xf>
    <xf numFmtId="9" fontId="1" fillId="0" borderId="0" xfId="62" applyFont="1" applyAlignment="1" applyProtection="1">
      <alignment vertical="center"/>
      <protection/>
    </xf>
    <xf numFmtId="174" fontId="0" fillId="40" borderId="14" xfId="0" applyNumberFormat="1" applyFill="1" applyBorder="1" applyAlignment="1" applyProtection="1">
      <alignment vertical="center"/>
      <protection/>
    </xf>
    <xf numFmtId="0" fontId="44" fillId="0" borderId="10" xfId="0" applyFont="1" applyFill="1" applyBorder="1" applyAlignment="1" applyProtection="1">
      <alignment horizontal="left" vertical="center" wrapText="1"/>
      <protection locked="0"/>
    </xf>
    <xf numFmtId="9" fontId="53" fillId="0" borderId="10" xfId="0" applyNumberFormat="1" applyFont="1" applyBorder="1" applyAlignment="1" applyProtection="1">
      <alignment horizontal="center" vertical="center" wrapText="1"/>
      <protection/>
    </xf>
    <xf numFmtId="9" fontId="53" fillId="0" borderId="10" xfId="0" applyNumberFormat="1" applyFont="1" applyBorder="1" applyAlignment="1" applyProtection="1">
      <alignment horizontal="center" vertical="center" wrapText="1"/>
      <protection locked="0"/>
    </xf>
    <xf numFmtId="3" fontId="24" fillId="0" borderId="10" xfId="0" applyNumberFormat="1" applyFont="1" applyFill="1" applyBorder="1" applyAlignment="1" applyProtection="1">
      <alignment vertical="center"/>
      <protection/>
    </xf>
    <xf numFmtId="193" fontId="53" fillId="0" borderId="10" xfId="0" applyNumberFormat="1" applyFont="1" applyBorder="1" applyAlignment="1" applyProtection="1">
      <alignment horizontal="center" vertical="center" wrapText="1"/>
      <protection locked="0"/>
    </xf>
    <xf numFmtId="3" fontId="44" fillId="0" borderId="10" xfId="0" applyNumberFormat="1" applyFont="1" applyFill="1" applyBorder="1" applyAlignment="1" applyProtection="1">
      <alignment horizontal="center" vertical="center"/>
      <protection/>
    </xf>
    <xf numFmtId="0" fontId="42" fillId="34" borderId="10" xfId="0" applyFont="1" applyFill="1" applyBorder="1" applyAlignment="1" applyProtection="1">
      <alignment horizontal="justify" vertical="top" wrapText="1"/>
      <protection locked="0"/>
    </xf>
    <xf numFmtId="189" fontId="44" fillId="39" borderId="10" xfId="0" applyNumberFormat="1" applyFont="1" applyFill="1" applyBorder="1" applyAlignment="1" applyProtection="1">
      <alignment horizontal="center" vertical="center"/>
      <protection/>
    </xf>
    <xf numFmtId="0" fontId="44" fillId="39" borderId="10" xfId="0" applyFont="1" applyFill="1" applyBorder="1" applyAlignment="1" applyProtection="1">
      <alignment horizontal="center" vertical="center"/>
      <protection/>
    </xf>
    <xf numFmtId="0" fontId="38" fillId="39" borderId="10" xfId="0" applyFont="1" applyFill="1" applyBorder="1" applyAlignment="1" applyProtection="1">
      <alignment horizontal="justify" vertical="center" wrapText="1"/>
      <protection/>
    </xf>
    <xf numFmtId="0" fontId="44" fillId="39" borderId="10" xfId="0" applyFont="1" applyFill="1" applyBorder="1" applyAlignment="1" applyProtection="1">
      <alignment horizontal="left" vertical="center" wrapText="1"/>
      <protection/>
    </xf>
    <xf numFmtId="0" fontId="44" fillId="39" borderId="10" xfId="0" applyFont="1" applyFill="1" applyBorder="1" applyAlignment="1" applyProtection="1">
      <alignment horizontal="center" vertical="center" wrapText="1"/>
      <protection/>
    </xf>
    <xf numFmtId="9" fontId="53" fillId="39" borderId="10" xfId="0" applyNumberFormat="1" applyFont="1" applyFill="1" applyBorder="1" applyAlignment="1" applyProtection="1">
      <alignment horizontal="center" vertical="center" wrapText="1"/>
      <protection/>
    </xf>
    <xf numFmtId="9" fontId="42" fillId="39" borderId="10" xfId="60" applyNumberFormat="1" applyFont="1" applyFill="1" applyBorder="1" applyAlignment="1" applyProtection="1">
      <alignment horizontal="center" vertical="center" wrapText="1"/>
      <protection/>
    </xf>
    <xf numFmtId="3" fontId="44" fillId="39" borderId="10" xfId="0" applyNumberFormat="1" applyFont="1" applyFill="1" applyBorder="1" applyAlignment="1" applyProtection="1">
      <alignment horizontal="center" vertical="center"/>
      <protection/>
    </xf>
    <xf numFmtId="193" fontId="53" fillId="39" borderId="10" xfId="0" applyNumberFormat="1" applyFont="1" applyFill="1" applyBorder="1" applyAlignment="1" applyProtection="1">
      <alignment horizontal="center" vertical="center" wrapText="1"/>
      <protection/>
    </xf>
    <xf numFmtId="0" fontId="42" fillId="39" borderId="10" xfId="0" applyFont="1" applyFill="1" applyBorder="1" applyAlignment="1" applyProtection="1">
      <alignment horizontal="justify" vertical="top" wrapText="1"/>
      <protection/>
    </xf>
    <xf numFmtId="0" fontId="0" fillId="39" borderId="0" xfId="0" applyFill="1" applyAlignment="1" applyProtection="1">
      <alignment vertical="center"/>
      <protection/>
    </xf>
    <xf numFmtId="193" fontId="53" fillId="0" borderId="10" xfId="0" applyNumberFormat="1" applyFont="1" applyBorder="1" applyAlignment="1" applyProtection="1">
      <alignment horizontal="center" vertical="center" wrapText="1"/>
      <protection/>
    </xf>
    <xf numFmtId="189" fontId="46" fillId="39" borderId="10" xfId="0" applyNumberFormat="1" applyFont="1" applyFill="1" applyBorder="1" applyAlignment="1" applyProtection="1">
      <alignment horizontal="center" vertical="center"/>
      <protection/>
    </xf>
    <xf numFmtId="0" fontId="44" fillId="39" borderId="10" xfId="0" applyFont="1" applyFill="1" applyBorder="1" applyAlignment="1" applyProtection="1">
      <alignment vertical="center"/>
      <protection/>
    </xf>
    <xf numFmtId="0" fontId="33" fillId="38" borderId="10" xfId="0" applyFont="1" applyFill="1" applyBorder="1" applyAlignment="1" applyProtection="1">
      <alignment horizontal="center" vertical="center" wrapText="1"/>
      <protection/>
    </xf>
    <xf numFmtId="172" fontId="54" fillId="38" borderId="10" xfId="0" applyNumberFormat="1" applyFont="1" applyFill="1" applyBorder="1" applyAlignment="1" applyProtection="1">
      <alignment horizontal="center" vertical="center"/>
      <protection/>
    </xf>
    <xf numFmtId="0" fontId="34" fillId="0" borderId="19" xfId="0" applyFont="1" applyFill="1" applyBorder="1" applyAlignment="1" applyProtection="1">
      <alignment vertical="center"/>
      <protection/>
    </xf>
    <xf numFmtId="3" fontId="24" fillId="0" borderId="20" xfId="0" applyNumberFormat="1" applyFont="1" applyFill="1" applyBorder="1" applyAlignment="1" applyProtection="1">
      <alignment horizontal="center" vertical="center"/>
      <protection locked="0"/>
    </xf>
    <xf numFmtId="3" fontId="24" fillId="0" borderId="20" xfId="0" applyNumberFormat="1" applyFont="1" applyFill="1" applyBorder="1" applyAlignment="1" applyProtection="1">
      <alignment horizontal="center" vertical="center"/>
      <protection/>
    </xf>
    <xf numFmtId="3" fontId="24" fillId="0" borderId="32" xfId="0" applyNumberFormat="1" applyFont="1" applyFill="1" applyBorder="1" applyAlignment="1" applyProtection="1">
      <alignment horizontal="center" vertical="center"/>
      <protection/>
    </xf>
    <xf numFmtId="0" fontId="13" fillId="0" borderId="0" xfId="0" applyFont="1" applyFill="1" applyAlignment="1" applyProtection="1">
      <alignment vertical="center"/>
      <protection/>
    </xf>
    <xf numFmtId="169" fontId="33" fillId="0" borderId="10" xfId="50" applyNumberFormat="1" applyFont="1" applyFill="1" applyBorder="1" applyAlignment="1" applyProtection="1">
      <alignment horizontal="center" vertical="center" wrapText="1"/>
      <protection/>
    </xf>
    <xf numFmtId="0" fontId="13" fillId="38" borderId="0" xfId="0" applyFont="1" applyFill="1" applyAlignment="1" applyProtection="1">
      <alignment vertical="center"/>
      <protection/>
    </xf>
    <xf numFmtId="0" fontId="34" fillId="0" borderId="21" xfId="0" applyFont="1" applyFill="1" applyBorder="1" applyAlignment="1" applyProtection="1">
      <alignment vertical="center"/>
      <protection/>
    </xf>
    <xf numFmtId="3" fontId="24" fillId="0" borderId="10" xfId="0" applyNumberFormat="1" applyFont="1" applyFill="1" applyBorder="1" applyAlignment="1" applyProtection="1">
      <alignment horizontal="center" vertical="center"/>
      <protection locked="0"/>
    </xf>
    <xf numFmtId="3" fontId="24" fillId="0" borderId="10" xfId="0" applyNumberFormat="1" applyFont="1" applyFill="1" applyBorder="1" applyAlignment="1" applyProtection="1">
      <alignment horizontal="center" vertical="center"/>
      <protection/>
    </xf>
    <xf numFmtId="3" fontId="24" fillId="0" borderId="22"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center" vertical="center"/>
      <protection locked="0"/>
    </xf>
    <xf numFmtId="3" fontId="7" fillId="0" borderId="26" xfId="0" applyNumberFormat="1" applyFont="1" applyFill="1" applyBorder="1" applyAlignment="1" applyProtection="1">
      <alignment horizontal="center" vertical="center"/>
      <protection locked="0"/>
    </xf>
    <xf numFmtId="3" fontId="7" fillId="0" borderId="20" xfId="0" applyNumberFormat="1" applyFont="1" applyFill="1" applyBorder="1" applyAlignment="1" applyProtection="1">
      <alignment horizontal="center" vertical="center"/>
      <protection locked="0"/>
    </xf>
    <xf numFmtId="0" fontId="38" fillId="0" borderId="12" xfId="0" applyFont="1" applyFill="1" applyBorder="1" applyAlignment="1" applyProtection="1">
      <alignment vertical="center" wrapText="1"/>
      <protection/>
    </xf>
    <xf numFmtId="0" fontId="38"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vertical="center" wrapText="1"/>
      <protection locked="0"/>
    </xf>
    <xf numFmtId="0" fontId="38" fillId="0" borderId="33" xfId="0" applyFont="1" applyFill="1" applyBorder="1" applyAlignment="1" applyProtection="1">
      <alignment vertical="center" wrapText="1"/>
      <protection/>
    </xf>
    <xf numFmtId="0" fontId="38" fillId="0" borderId="10" xfId="0" applyFont="1" applyFill="1" applyBorder="1" applyAlignment="1" applyProtection="1">
      <alignment horizontal="center" vertical="center"/>
      <protection/>
    </xf>
    <xf numFmtId="169" fontId="44" fillId="38" borderId="10" xfId="50" applyNumberFormat="1" applyFont="1" applyFill="1" applyBorder="1" applyAlignment="1" applyProtection="1">
      <alignment horizontal="center" vertical="center" wrapText="1"/>
      <protection/>
    </xf>
    <xf numFmtId="0" fontId="44" fillId="44" borderId="10" xfId="0" applyFont="1" applyFill="1" applyBorder="1" applyAlignment="1" applyProtection="1">
      <alignment horizontal="center" vertical="center" wrapText="1"/>
      <protection/>
    </xf>
    <xf numFmtId="172" fontId="50" fillId="44" borderId="10" xfId="0" applyNumberFormat="1" applyFont="1" applyFill="1" applyBorder="1" applyAlignment="1" applyProtection="1">
      <alignment horizontal="center" vertical="center"/>
      <protection/>
    </xf>
    <xf numFmtId="0" fontId="0" fillId="44" borderId="0" xfId="0" applyFill="1" applyAlignment="1" applyProtection="1">
      <alignment vertical="center"/>
      <protection/>
    </xf>
    <xf numFmtId="169" fontId="44" fillId="44" borderId="10" xfId="50" applyNumberFormat="1" applyFont="1" applyFill="1" applyBorder="1" applyAlignment="1" applyProtection="1">
      <alignment horizontal="center" vertical="center" wrapText="1"/>
      <protection/>
    </xf>
    <xf numFmtId="9" fontId="11" fillId="33" borderId="10" xfId="0" applyNumberFormat="1" applyFont="1" applyFill="1" applyBorder="1" applyAlignment="1" applyProtection="1">
      <alignment vertical="center"/>
      <protection/>
    </xf>
    <xf numFmtId="194" fontId="3" fillId="33" borderId="10" xfId="0" applyNumberFormat="1" applyFont="1" applyFill="1" applyBorder="1" applyAlignment="1" applyProtection="1">
      <alignment vertical="center"/>
      <protection/>
    </xf>
    <xf numFmtId="0" fontId="16" fillId="0" borderId="10" xfId="0" applyFont="1" applyFill="1" applyBorder="1" applyAlignment="1" applyProtection="1">
      <alignment horizontal="justify" vertical="center" wrapText="1"/>
      <protection/>
    </xf>
    <xf numFmtId="9" fontId="22" fillId="41" borderId="10" xfId="0" applyNumberFormat="1" applyFont="1" applyFill="1" applyBorder="1" applyAlignment="1" applyProtection="1">
      <alignment horizontal="center" vertical="center" wrapText="1"/>
      <protection/>
    </xf>
    <xf numFmtId="9" fontId="42" fillId="0" borderId="10" xfId="60" applyNumberFormat="1" applyFont="1" applyFill="1" applyBorder="1" applyAlignment="1" applyProtection="1">
      <alignment horizontal="center" vertical="center" wrapText="1"/>
      <protection locked="0"/>
    </xf>
    <xf numFmtId="174" fontId="1" fillId="0" borderId="10" xfId="50" applyNumberFormat="1" applyFont="1" applyFill="1" applyBorder="1" applyAlignment="1" applyProtection="1">
      <alignment horizontal="center" vertical="center" wrapText="1"/>
      <protection/>
    </xf>
    <xf numFmtId="37" fontId="1" fillId="0" borderId="10" xfId="50" applyNumberFormat="1" applyFont="1" applyFill="1" applyBorder="1" applyAlignment="1" applyProtection="1">
      <alignment horizontal="right" vertical="center" wrapText="1"/>
      <protection/>
    </xf>
    <xf numFmtId="0" fontId="61" fillId="0" borderId="10" xfId="0" applyFont="1" applyFill="1" applyBorder="1" applyAlignment="1" applyProtection="1">
      <alignment horizontal="justify" vertical="top" wrapText="1"/>
      <protection locked="0"/>
    </xf>
    <xf numFmtId="0" fontId="32" fillId="0" borderId="10" xfId="0" applyFont="1" applyFill="1" applyBorder="1" applyAlignment="1" applyProtection="1">
      <alignment horizontal="justify" vertical="top" wrapText="1"/>
      <protection locked="0"/>
    </xf>
    <xf numFmtId="174" fontId="31" fillId="41" borderId="10" xfId="50" applyNumberFormat="1" applyFont="1" applyFill="1" applyBorder="1" applyAlignment="1" applyProtection="1">
      <alignment horizontal="center" vertical="center" wrapText="1"/>
      <protection/>
    </xf>
    <xf numFmtId="0" fontId="53" fillId="0" borderId="0" xfId="0" applyFont="1" applyAlignment="1">
      <alignment horizontal="justify"/>
    </xf>
    <xf numFmtId="0" fontId="62" fillId="39" borderId="10" xfId="0" applyFont="1" applyFill="1" applyBorder="1" applyAlignment="1" applyProtection="1">
      <alignment horizontal="center" vertical="center"/>
      <protection/>
    </xf>
    <xf numFmtId="0" fontId="44" fillId="39" borderId="10" xfId="0" applyFont="1" applyFill="1" applyBorder="1" applyAlignment="1" applyProtection="1">
      <alignment horizontal="justify" vertical="top" wrapText="1"/>
      <protection/>
    </xf>
    <xf numFmtId="173" fontId="44" fillId="39" borderId="10" xfId="62" applyNumberFormat="1" applyFont="1" applyFill="1" applyBorder="1" applyAlignment="1" applyProtection="1">
      <alignment horizontal="center" vertical="center"/>
      <protection/>
    </xf>
    <xf numFmtId="0" fontId="44" fillId="0" borderId="10" xfId="0" applyFont="1" applyFill="1" applyBorder="1" applyAlignment="1" applyProtection="1">
      <alignment horizontal="justify" vertical="center" wrapText="1"/>
      <protection/>
    </xf>
    <xf numFmtId="9" fontId="22" fillId="0" borderId="10" xfId="0" applyNumberFormat="1" applyFont="1" applyFill="1" applyBorder="1" applyAlignment="1" applyProtection="1">
      <alignment horizontal="center" vertical="center" wrapText="1"/>
      <protection/>
    </xf>
    <xf numFmtId="174" fontId="31" fillId="0" borderId="10" xfId="50" applyNumberFormat="1" applyFont="1" applyFill="1" applyBorder="1" applyAlignment="1" applyProtection="1">
      <alignment horizontal="center" vertical="center" wrapText="1"/>
      <protection/>
    </xf>
    <xf numFmtId="0" fontId="18" fillId="34" borderId="10" xfId="0" applyFont="1" applyFill="1" applyBorder="1" applyAlignment="1" applyProtection="1">
      <alignment horizontal="justify" vertical="center" wrapText="1"/>
      <protection locked="0"/>
    </xf>
    <xf numFmtId="0" fontId="63" fillId="0" borderId="10" xfId="0" applyFont="1" applyFill="1" applyBorder="1" applyAlignment="1" applyProtection="1">
      <alignment horizontal="justify" vertical="center"/>
      <protection locked="0"/>
    </xf>
    <xf numFmtId="189" fontId="46" fillId="0" borderId="10" xfId="0" applyNumberFormat="1" applyFont="1" applyFill="1" applyBorder="1" applyAlignment="1" applyProtection="1">
      <alignment horizontal="center" vertical="center"/>
      <protection/>
    </xf>
    <xf numFmtId="174" fontId="7" fillId="0" borderId="10" xfId="50" applyNumberFormat="1" applyFont="1" applyFill="1" applyBorder="1" applyAlignment="1">
      <alignment horizontal="center" vertical="center" wrapText="1"/>
    </xf>
    <xf numFmtId="0" fontId="63" fillId="0" borderId="10" xfId="0" applyFont="1" applyFill="1" applyBorder="1" applyAlignment="1" applyProtection="1">
      <alignment horizontal="justify" vertical="top" wrapText="1"/>
      <protection locked="0"/>
    </xf>
    <xf numFmtId="0" fontId="42" fillId="0" borderId="10" xfId="0" applyFont="1" applyFill="1" applyBorder="1" applyAlignment="1" applyProtection="1">
      <alignment horizontal="center" vertical="center"/>
      <protection locked="0"/>
    </xf>
    <xf numFmtId="0" fontId="109" fillId="34" borderId="10" xfId="0" applyFont="1" applyFill="1" applyBorder="1" applyAlignment="1" applyProtection="1">
      <alignment horizontal="justify" vertical="center" wrapText="1"/>
      <protection locked="0"/>
    </xf>
    <xf numFmtId="174" fontId="7" fillId="34" borderId="10" xfId="50" applyNumberFormat="1" applyFont="1" applyFill="1" applyBorder="1" applyAlignment="1">
      <alignment horizontal="center" vertical="center" wrapText="1"/>
    </xf>
    <xf numFmtId="3" fontId="44" fillId="34" borderId="10" xfId="0" applyNumberFormat="1" applyFont="1" applyFill="1" applyBorder="1" applyAlignment="1" applyProtection="1">
      <alignment horizontal="center" vertical="center"/>
      <protection locked="0"/>
    </xf>
    <xf numFmtId="37" fontId="1" fillId="34" borderId="10" xfId="50" applyNumberFormat="1" applyFont="1" applyFill="1" applyBorder="1" applyAlignment="1" applyProtection="1">
      <alignment horizontal="right" vertical="center" wrapText="1"/>
      <protection/>
    </xf>
    <xf numFmtId="0" fontId="32" fillId="34" borderId="10" xfId="0" applyFont="1" applyFill="1" applyBorder="1" applyAlignment="1" applyProtection="1">
      <alignment horizontal="justify" vertical="top" wrapText="1"/>
      <protection locked="0"/>
    </xf>
    <xf numFmtId="9" fontId="42" fillId="0" borderId="10" xfId="0" applyNumberFormat="1" applyFont="1" applyFill="1" applyBorder="1" applyAlignment="1" applyProtection="1">
      <alignment horizontal="center" vertical="center" wrapText="1"/>
      <protection locked="0"/>
    </xf>
    <xf numFmtId="0" fontId="53" fillId="0" borderId="0" xfId="0" applyFont="1" applyAlignment="1">
      <alignment/>
    </xf>
    <xf numFmtId="0" fontId="22" fillId="41" borderId="10" xfId="0" applyNumberFormat="1" applyFont="1" applyFill="1" applyBorder="1" applyAlignment="1" applyProtection="1">
      <alignment horizontal="center" vertical="center" wrapText="1"/>
      <protection/>
    </xf>
    <xf numFmtId="3" fontId="110" fillId="0" borderId="10" xfId="0" applyNumberFormat="1" applyFont="1" applyFill="1" applyBorder="1" applyAlignment="1" applyProtection="1">
      <alignment horizontal="center" vertical="center"/>
      <protection locked="0"/>
    </xf>
    <xf numFmtId="3" fontId="111" fillId="0" borderId="10" xfId="0" applyNumberFormat="1" applyFont="1" applyFill="1" applyBorder="1" applyAlignment="1" applyProtection="1">
      <alignment horizontal="center" vertical="center"/>
      <protection locked="0"/>
    </xf>
    <xf numFmtId="189" fontId="46" fillId="45" borderId="10" xfId="0" applyNumberFormat="1" applyFont="1" applyFill="1" applyBorder="1" applyAlignment="1" applyProtection="1">
      <alignment horizontal="center" vertical="center"/>
      <protection/>
    </xf>
    <xf numFmtId="0" fontId="44" fillId="45" borderId="10" xfId="0" applyFont="1" applyFill="1" applyBorder="1" applyAlignment="1" applyProtection="1">
      <alignment horizontal="center" vertical="center" wrapText="1"/>
      <protection/>
    </xf>
    <xf numFmtId="0" fontId="44" fillId="45" borderId="10" xfId="0" applyFont="1" applyFill="1" applyBorder="1" applyAlignment="1" applyProtection="1">
      <alignment horizontal="center" vertical="center"/>
      <protection/>
    </xf>
    <xf numFmtId="0" fontId="44" fillId="45" borderId="10" xfId="0" applyFont="1" applyFill="1" applyBorder="1" applyAlignment="1" applyProtection="1">
      <alignment horizontal="left" vertical="center" wrapText="1"/>
      <protection/>
    </xf>
    <xf numFmtId="0" fontId="65" fillId="45" borderId="10" xfId="0" applyFont="1" applyFill="1" applyBorder="1" applyAlignment="1" applyProtection="1">
      <alignment horizontal="center" vertical="center"/>
      <protection/>
    </xf>
    <xf numFmtId="3" fontId="44" fillId="45" borderId="10" xfId="0" applyNumberFormat="1" applyFont="1" applyFill="1" applyBorder="1" applyAlignment="1" applyProtection="1">
      <alignment horizontal="center" vertical="center"/>
      <protection/>
    </xf>
    <xf numFmtId="0" fontId="44" fillId="45" borderId="10" xfId="0" applyFont="1" applyFill="1" applyBorder="1" applyAlignment="1" applyProtection="1">
      <alignment horizontal="justify" vertical="top" wrapText="1"/>
      <protection/>
    </xf>
    <xf numFmtId="0" fontId="44" fillId="45" borderId="10" xfId="0" applyFont="1" applyFill="1" applyBorder="1" applyAlignment="1" applyProtection="1">
      <alignment vertical="center"/>
      <protection/>
    </xf>
    <xf numFmtId="173" fontId="44" fillId="45" borderId="10" xfId="62" applyNumberFormat="1" applyFont="1" applyFill="1" applyBorder="1" applyAlignment="1" applyProtection="1">
      <alignment horizontal="center" vertical="center"/>
      <protection/>
    </xf>
    <xf numFmtId="0" fontId="56" fillId="0" borderId="12" xfId="0" applyFont="1" applyFill="1" applyBorder="1" applyAlignment="1" applyProtection="1">
      <alignment horizontal="justify" vertical="top" wrapText="1"/>
      <protection locked="0"/>
    </xf>
    <xf numFmtId="0" fontId="56" fillId="0" borderId="33" xfId="0" applyFont="1" applyFill="1" applyBorder="1" applyAlignment="1" applyProtection="1">
      <alignment horizontal="justify" vertical="top"/>
      <protection locked="0"/>
    </xf>
    <xf numFmtId="0" fontId="56" fillId="0" borderId="13" xfId="0" applyFont="1" applyFill="1" applyBorder="1" applyAlignment="1" applyProtection="1">
      <alignment horizontal="justify" vertical="top"/>
      <protection locked="0"/>
    </xf>
    <xf numFmtId="0" fontId="56" fillId="0" borderId="33" xfId="0" applyFont="1" applyFill="1" applyBorder="1" applyAlignment="1" applyProtection="1">
      <alignment horizontal="justify" vertical="top" wrapText="1"/>
      <protection locked="0"/>
    </xf>
    <xf numFmtId="0" fontId="56" fillId="0" borderId="13" xfId="0" applyFont="1" applyFill="1" applyBorder="1" applyAlignment="1" applyProtection="1">
      <alignment horizontal="justify" vertical="top" wrapText="1"/>
      <protection locked="0"/>
    </xf>
    <xf numFmtId="0" fontId="38" fillId="0" borderId="12" xfId="0" applyFont="1" applyFill="1" applyBorder="1" applyAlignment="1" applyProtection="1">
      <alignment vertical="top" wrapText="1"/>
      <protection locked="0"/>
    </xf>
    <xf numFmtId="0" fontId="38" fillId="0" borderId="33" xfId="0" applyFont="1" applyFill="1" applyBorder="1" applyAlignment="1" applyProtection="1">
      <alignment vertical="top" wrapText="1"/>
      <protection locked="0"/>
    </xf>
    <xf numFmtId="0" fontId="56" fillId="0" borderId="12" xfId="0" applyFont="1" applyFill="1" applyBorder="1" applyAlignment="1" applyProtection="1">
      <alignment horizontal="left" vertical="center" wrapText="1"/>
      <protection locked="0"/>
    </xf>
    <xf numFmtId="0" fontId="56" fillId="0" borderId="33" xfId="0" applyFont="1" applyFill="1" applyBorder="1" applyAlignment="1" applyProtection="1">
      <alignment horizontal="left" vertical="center" wrapText="1"/>
      <protection locked="0"/>
    </xf>
    <xf numFmtId="169" fontId="44" fillId="0" borderId="12" xfId="50" applyNumberFormat="1" applyFont="1" applyFill="1" applyBorder="1" applyAlignment="1" applyProtection="1">
      <alignment horizontal="center" vertical="center" wrapText="1"/>
      <protection/>
    </xf>
    <xf numFmtId="169" fontId="44" fillId="0" borderId="33" xfId="50" applyNumberFormat="1" applyFont="1" applyFill="1" applyBorder="1" applyAlignment="1" applyProtection="1">
      <alignment horizontal="center" vertical="center" wrapText="1"/>
      <protection/>
    </xf>
    <xf numFmtId="169" fontId="44" fillId="0" borderId="13" xfId="50" applyNumberFormat="1" applyFont="1" applyFill="1" applyBorder="1" applyAlignment="1" applyProtection="1">
      <alignment horizontal="center" vertical="center" wrapText="1"/>
      <protection/>
    </xf>
    <xf numFmtId="0" fontId="59" fillId="0" borderId="12" xfId="0" applyFont="1" applyFill="1" applyBorder="1" applyAlignment="1" applyProtection="1">
      <alignment horizontal="justify" vertical="top" wrapText="1"/>
      <protection locked="0"/>
    </xf>
    <xf numFmtId="0" fontId="42" fillId="0" borderId="12" xfId="0" applyFont="1" applyFill="1" applyBorder="1" applyAlignment="1" applyProtection="1">
      <alignment horizontal="center" vertical="center" wrapText="1"/>
      <protection/>
    </xf>
    <xf numFmtId="0" fontId="42" fillId="0" borderId="33"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38" fillId="0" borderId="12" xfId="0" applyFont="1" applyFill="1" applyBorder="1" applyAlignment="1" applyProtection="1">
      <alignment horizontal="center" vertical="center" wrapText="1"/>
      <protection/>
    </xf>
    <xf numFmtId="0" fontId="38" fillId="0" borderId="33" xfId="0" applyFont="1" applyFill="1" applyBorder="1" applyAlignment="1" applyProtection="1">
      <alignment horizontal="center" vertical="center" wrapText="1"/>
      <protection/>
    </xf>
    <xf numFmtId="0" fontId="38" fillId="0" borderId="13" xfId="0" applyFont="1" applyFill="1" applyBorder="1" applyAlignment="1" applyProtection="1">
      <alignment horizontal="center" vertical="center" wrapText="1"/>
      <protection/>
    </xf>
    <xf numFmtId="0" fontId="44" fillId="0" borderId="12" xfId="0" applyFont="1" applyFill="1" applyBorder="1" applyAlignment="1" applyProtection="1">
      <alignment horizontal="center" vertical="center" wrapText="1"/>
      <protection/>
    </xf>
    <xf numFmtId="0" fontId="44" fillId="0" borderId="33" xfId="0" applyFont="1" applyFill="1" applyBorder="1" applyAlignment="1" applyProtection="1">
      <alignment horizontal="center" vertical="center" wrapText="1"/>
      <protection/>
    </xf>
    <xf numFmtId="0" fontId="44" fillId="0" borderId="13" xfId="0" applyFont="1" applyFill="1" applyBorder="1" applyAlignment="1" applyProtection="1">
      <alignment horizontal="center" vertical="center" wrapText="1"/>
      <protection/>
    </xf>
    <xf numFmtId="9" fontId="42" fillId="0" borderId="12" xfId="0" applyNumberFormat="1" applyFont="1" applyFill="1" applyBorder="1" applyAlignment="1" applyProtection="1">
      <alignment horizontal="center" vertical="center" wrapText="1"/>
      <protection/>
    </xf>
    <xf numFmtId="9" fontId="42" fillId="0" borderId="33" xfId="0" applyNumberFormat="1" applyFont="1" applyFill="1" applyBorder="1" applyAlignment="1" applyProtection="1">
      <alignment horizontal="center" vertical="center" wrapText="1"/>
      <protection/>
    </xf>
    <xf numFmtId="9" fontId="42" fillId="0" borderId="13" xfId="0" applyNumberFormat="1" applyFont="1" applyFill="1" applyBorder="1" applyAlignment="1" applyProtection="1">
      <alignment horizontal="center" vertical="center" wrapText="1"/>
      <protection/>
    </xf>
    <xf numFmtId="173" fontId="42" fillId="0" borderId="12" xfId="0" applyNumberFormat="1" applyFont="1" applyFill="1" applyBorder="1" applyAlignment="1" applyProtection="1">
      <alignment horizontal="center" vertical="center" wrapText="1"/>
      <protection locked="0"/>
    </xf>
    <xf numFmtId="173" fontId="42" fillId="0" borderId="33" xfId="0" applyNumberFormat="1" applyFont="1" applyFill="1" applyBorder="1" applyAlignment="1" applyProtection="1">
      <alignment horizontal="center" vertical="center" wrapText="1"/>
      <protection locked="0"/>
    </xf>
    <xf numFmtId="173" fontId="42" fillId="0" borderId="13" xfId="0" applyNumberFormat="1" applyFont="1" applyFill="1" applyBorder="1" applyAlignment="1" applyProtection="1">
      <alignment horizontal="center" vertical="center" wrapText="1"/>
      <protection locked="0"/>
    </xf>
    <xf numFmtId="0" fontId="55" fillId="0" borderId="12" xfId="0" applyFont="1" applyFill="1" applyBorder="1" applyAlignment="1" applyProtection="1">
      <alignment horizontal="justify" vertical="top" wrapText="1"/>
      <protection locked="0"/>
    </xf>
    <xf numFmtId="0" fontId="56" fillId="34" borderId="12" xfId="0" applyFont="1" applyFill="1" applyBorder="1" applyAlignment="1" applyProtection="1">
      <alignment horizontal="justify" vertical="top" wrapText="1"/>
      <protection locked="0"/>
    </xf>
    <xf numFmtId="0" fontId="56" fillId="34" borderId="33" xfId="0" applyFont="1" applyFill="1" applyBorder="1" applyAlignment="1" applyProtection="1">
      <alignment horizontal="justify" vertical="top" wrapText="1"/>
      <protection locked="0"/>
    </xf>
    <xf numFmtId="173" fontId="42" fillId="0" borderId="12" xfId="0" applyNumberFormat="1" applyFont="1" applyFill="1" applyBorder="1" applyAlignment="1" applyProtection="1">
      <alignment horizontal="center" vertical="center" wrapText="1"/>
      <protection/>
    </xf>
    <xf numFmtId="173" fontId="42" fillId="0" borderId="33" xfId="0" applyNumberFormat="1" applyFont="1" applyFill="1" applyBorder="1" applyAlignment="1" applyProtection="1">
      <alignment horizontal="center" vertical="center" wrapText="1"/>
      <protection/>
    </xf>
    <xf numFmtId="173" fontId="42" fillId="0" borderId="13" xfId="0" applyNumberFormat="1" applyFont="1" applyFill="1" applyBorder="1" applyAlignment="1" applyProtection="1">
      <alignment horizontal="center" vertical="center" wrapText="1"/>
      <protection/>
    </xf>
    <xf numFmtId="0" fontId="44" fillId="0" borderId="34" xfId="0" applyFont="1" applyFill="1" applyBorder="1" applyAlignment="1" applyProtection="1">
      <alignment horizontal="center" vertical="center" wrapText="1"/>
      <protection/>
    </xf>
    <xf numFmtId="0" fontId="59" fillId="34" borderId="12" xfId="0" applyFont="1" applyFill="1" applyBorder="1" applyAlignment="1" applyProtection="1">
      <alignment horizontal="justify" vertical="top" wrapText="1"/>
      <protection locked="0"/>
    </xf>
    <xf numFmtId="0" fontId="59" fillId="34" borderId="33" xfId="0" applyFont="1" applyFill="1" applyBorder="1" applyAlignment="1" applyProtection="1">
      <alignment horizontal="justify" vertical="top"/>
      <protection locked="0"/>
    </xf>
    <xf numFmtId="0" fontId="59" fillId="34" borderId="13" xfId="0" applyFont="1" applyFill="1" applyBorder="1" applyAlignment="1" applyProtection="1">
      <alignment horizontal="justify" vertical="top"/>
      <protection locked="0"/>
    </xf>
    <xf numFmtId="0" fontId="59" fillId="34" borderId="33" xfId="0" applyFont="1" applyFill="1" applyBorder="1" applyAlignment="1" applyProtection="1">
      <alignment horizontal="justify" vertical="top" wrapText="1"/>
      <protection locked="0"/>
    </xf>
    <xf numFmtId="0" fontId="59" fillId="34" borderId="13" xfId="0" applyFont="1" applyFill="1" applyBorder="1" applyAlignment="1" applyProtection="1">
      <alignment horizontal="justify" vertical="top" wrapText="1"/>
      <protection locked="0"/>
    </xf>
    <xf numFmtId="0" fontId="56" fillId="0" borderId="24" xfId="0" applyFont="1" applyFill="1" applyBorder="1" applyAlignment="1" applyProtection="1">
      <alignment horizontal="justify" vertical="top" wrapText="1"/>
      <protection locked="0"/>
    </xf>
    <xf numFmtId="0" fontId="56" fillId="0" borderId="35" xfId="0" applyFont="1" applyFill="1" applyBorder="1" applyAlignment="1" applyProtection="1">
      <alignment horizontal="justify" vertical="top" wrapText="1"/>
      <protection locked="0"/>
    </xf>
    <xf numFmtId="0" fontId="56" fillId="0" borderId="36" xfId="0" applyFont="1" applyFill="1" applyBorder="1" applyAlignment="1" applyProtection="1">
      <alignment horizontal="justify" vertical="top" wrapText="1"/>
      <protection locked="0"/>
    </xf>
    <xf numFmtId="0" fontId="38" fillId="0" borderId="33" xfId="0" applyFont="1" applyFill="1" applyBorder="1" applyAlignment="1" applyProtection="1">
      <alignment horizontal="left" vertical="center" wrapText="1"/>
      <protection/>
    </xf>
    <xf numFmtId="0" fontId="38" fillId="0" borderId="13" xfId="0" applyFont="1" applyFill="1" applyBorder="1" applyAlignment="1" applyProtection="1">
      <alignment horizontal="left" vertical="center" wrapText="1"/>
      <protection/>
    </xf>
    <xf numFmtId="0" fontId="38" fillId="0" borderId="12" xfId="0" applyFont="1" applyFill="1" applyBorder="1" applyAlignment="1" applyProtection="1">
      <alignment horizontal="center" vertical="center"/>
      <protection/>
    </xf>
    <xf numFmtId="0" fontId="38" fillId="0" borderId="33" xfId="0" applyFont="1" applyFill="1" applyBorder="1" applyAlignment="1" applyProtection="1">
      <alignment horizontal="center" vertical="center"/>
      <protection/>
    </xf>
    <xf numFmtId="0" fontId="38" fillId="0" borderId="13" xfId="0" applyFont="1" applyFill="1" applyBorder="1" applyAlignment="1" applyProtection="1">
      <alignment horizontal="center" vertical="center"/>
      <protection/>
    </xf>
    <xf numFmtId="0" fontId="16" fillId="0" borderId="12" xfId="0" applyFont="1" applyFill="1" applyBorder="1" applyAlignment="1" applyProtection="1">
      <alignment vertical="center"/>
      <protection/>
    </xf>
    <xf numFmtId="0" fontId="16" fillId="0" borderId="33" xfId="0" applyFont="1" applyFill="1" applyBorder="1" applyAlignment="1" applyProtection="1">
      <alignment vertical="center"/>
      <protection/>
    </xf>
    <xf numFmtId="0" fontId="16" fillId="0" borderId="13" xfId="0" applyFont="1" applyFill="1" applyBorder="1" applyAlignment="1" applyProtection="1">
      <alignment vertical="center"/>
      <protection/>
    </xf>
    <xf numFmtId="0" fontId="55" fillId="34" borderId="12" xfId="0" applyFont="1" applyFill="1" applyBorder="1" applyAlignment="1" applyProtection="1">
      <alignment horizontal="justify" vertical="top" wrapText="1"/>
      <protection locked="0"/>
    </xf>
    <xf numFmtId="0" fontId="56" fillId="34" borderId="33" xfId="0" applyFont="1" applyFill="1" applyBorder="1" applyAlignment="1" applyProtection="1">
      <alignment horizontal="justify" vertical="top"/>
      <protection locked="0"/>
    </xf>
    <xf numFmtId="0" fontId="56" fillId="34" borderId="13" xfId="0" applyFont="1" applyFill="1" applyBorder="1" applyAlignment="1" applyProtection="1">
      <alignment horizontal="justify" vertical="top"/>
      <protection locked="0"/>
    </xf>
    <xf numFmtId="0" fontId="55" fillId="0" borderId="33" xfId="0" applyFont="1" applyFill="1" applyBorder="1" applyAlignment="1" applyProtection="1">
      <alignment horizontal="justify" vertical="top"/>
      <protection locked="0"/>
    </xf>
    <xf numFmtId="0" fontId="55" fillId="0" borderId="13" xfId="0" applyFont="1" applyFill="1" applyBorder="1" applyAlignment="1" applyProtection="1">
      <alignment horizontal="justify" vertical="top"/>
      <protection locked="0"/>
    </xf>
    <xf numFmtId="0" fontId="56" fillId="0" borderId="12" xfId="0" applyFont="1" applyBorder="1" applyAlignment="1" applyProtection="1">
      <alignment horizontal="justify" vertical="top" wrapText="1"/>
      <protection locked="0"/>
    </xf>
    <xf numFmtId="0" fontId="56" fillId="0" borderId="33" xfId="0" applyFont="1" applyBorder="1" applyAlignment="1" applyProtection="1">
      <alignment horizontal="justify" vertical="top" wrapText="1"/>
      <protection locked="0"/>
    </xf>
    <xf numFmtId="0" fontId="56" fillId="0" borderId="13" xfId="0" applyFont="1" applyBorder="1" applyAlignment="1" applyProtection="1">
      <alignment horizontal="justify" vertical="top" wrapText="1"/>
      <protection locked="0"/>
    </xf>
    <xf numFmtId="0" fontId="16" fillId="0" borderId="12" xfId="0" applyFont="1" applyFill="1" applyBorder="1" applyAlignment="1" applyProtection="1">
      <alignment horizontal="center" vertical="center" wrapText="1"/>
      <protection/>
    </xf>
    <xf numFmtId="0" fontId="16" fillId="0" borderId="33" xfId="0" applyFont="1" applyFill="1" applyBorder="1" applyAlignment="1" applyProtection="1">
      <alignment horizontal="center" vertical="center" wrapText="1"/>
      <protection/>
    </xf>
    <xf numFmtId="0" fontId="16" fillId="0" borderId="13" xfId="0" applyFont="1" applyFill="1" applyBorder="1" applyAlignment="1" applyProtection="1">
      <alignment horizontal="center" vertical="center" wrapText="1"/>
      <protection/>
    </xf>
    <xf numFmtId="0" fontId="38" fillId="0" borderId="12" xfId="0" applyFont="1" applyBorder="1" applyAlignment="1" applyProtection="1">
      <alignment horizontal="center" vertical="center" wrapText="1"/>
      <protection/>
    </xf>
    <xf numFmtId="0" fontId="38" fillId="0" borderId="33" xfId="0" applyFont="1" applyBorder="1" applyAlignment="1" applyProtection="1">
      <alignment horizontal="center" vertical="center" wrapText="1"/>
      <protection/>
    </xf>
    <xf numFmtId="0" fontId="38" fillId="0" borderId="13" xfId="0" applyFont="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42" fillId="0" borderId="33" xfId="0" applyNumberFormat="1" applyFont="1" applyFill="1" applyBorder="1" applyAlignment="1" applyProtection="1">
      <alignment horizontal="center" vertical="center" wrapText="1"/>
      <protection/>
    </xf>
    <xf numFmtId="0" fontId="42" fillId="0" borderId="13"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locked="0"/>
    </xf>
    <xf numFmtId="0" fontId="16" fillId="0" borderId="33" xfId="0" applyNumberFormat="1" applyFont="1" applyFill="1" applyBorder="1" applyAlignment="1" applyProtection="1">
      <alignment horizontal="center" vertical="center" wrapText="1"/>
      <protection locked="0"/>
    </xf>
    <xf numFmtId="0" fontId="16" fillId="0" borderId="13" xfId="0" applyNumberFormat="1" applyFont="1" applyFill="1" applyBorder="1" applyAlignment="1" applyProtection="1">
      <alignment horizontal="center" vertical="center" wrapText="1"/>
      <protection locked="0"/>
    </xf>
    <xf numFmtId="0" fontId="57" fillId="0" borderId="12" xfId="0" applyFont="1" applyFill="1" applyBorder="1" applyAlignment="1" applyProtection="1">
      <alignment horizontal="justify" vertical="top" wrapText="1"/>
      <protection locked="0"/>
    </xf>
    <xf numFmtId="0" fontId="58" fillId="0" borderId="33" xfId="0" applyFont="1" applyFill="1" applyBorder="1" applyAlignment="1" applyProtection="1">
      <alignment horizontal="justify" vertical="top" wrapText="1"/>
      <protection locked="0"/>
    </xf>
    <xf numFmtId="0" fontId="58" fillId="0" borderId="13" xfId="0" applyFont="1" applyFill="1" applyBorder="1" applyAlignment="1" applyProtection="1">
      <alignment horizontal="justify" vertical="top" wrapText="1"/>
      <protection locked="0"/>
    </xf>
    <xf numFmtId="0" fontId="58" fillId="0" borderId="12" xfId="0" applyFont="1" applyFill="1" applyBorder="1" applyAlignment="1" applyProtection="1">
      <alignment horizontal="justify" vertical="top" wrapText="1"/>
      <protection locked="0"/>
    </xf>
    <xf numFmtId="0" fontId="4" fillId="33" borderId="11" xfId="0" applyFont="1" applyFill="1" applyBorder="1" applyAlignment="1" applyProtection="1">
      <alignment horizontal="center" vertical="center" wrapText="1"/>
      <protection/>
    </xf>
    <xf numFmtId="0" fontId="4" fillId="33" borderId="37" xfId="0" applyFont="1" applyFill="1" applyBorder="1" applyAlignment="1" applyProtection="1">
      <alignment horizontal="center" vertical="center"/>
      <protection/>
    </xf>
    <xf numFmtId="0" fontId="34" fillId="0" borderId="38" xfId="0" applyFont="1" applyBorder="1" applyAlignment="1">
      <alignment horizontal="left" wrapText="1"/>
    </xf>
    <xf numFmtId="0" fontId="34" fillId="0" borderId="28" xfId="0" applyFont="1" applyBorder="1" applyAlignment="1">
      <alignment horizontal="left" wrapText="1"/>
    </xf>
    <xf numFmtId="0" fontId="34" fillId="0" borderId="16" xfId="0" applyFont="1" applyBorder="1" applyAlignment="1">
      <alignment horizontal="left" wrapText="1"/>
    </xf>
    <xf numFmtId="0" fontId="34" fillId="0" borderId="39" xfId="0" applyFont="1" applyBorder="1" applyAlignment="1">
      <alignment horizontal="left" wrapText="1"/>
    </xf>
    <xf numFmtId="0" fontId="34" fillId="0" borderId="0" xfId="0" applyFont="1" applyBorder="1" applyAlignment="1">
      <alignment horizontal="left" wrapText="1"/>
    </xf>
    <xf numFmtId="0" fontId="34" fillId="0" borderId="17" xfId="0" applyFont="1" applyBorder="1" applyAlignment="1">
      <alignment horizontal="left" wrapText="1"/>
    </xf>
    <xf numFmtId="0" fontId="34" fillId="0" borderId="40" xfId="0" applyFont="1" applyBorder="1" applyAlignment="1">
      <alignment horizontal="left" wrapText="1"/>
    </xf>
    <xf numFmtId="0" fontId="34" fillId="0" borderId="29" xfId="0" applyFont="1" applyBorder="1" applyAlignment="1">
      <alignment horizontal="left" wrapText="1"/>
    </xf>
    <xf numFmtId="0" fontId="34" fillId="0" borderId="18" xfId="0" applyFont="1" applyBorder="1" applyAlignment="1">
      <alignment horizontal="left" wrapText="1"/>
    </xf>
    <xf numFmtId="0" fontId="33" fillId="0" borderId="38" xfId="0" applyFont="1" applyBorder="1" applyAlignment="1">
      <alignment horizontal="center"/>
    </xf>
    <xf numFmtId="0" fontId="33" fillId="0" borderId="28" xfId="0" applyFont="1" applyBorder="1" applyAlignment="1">
      <alignment horizontal="center"/>
    </xf>
    <xf numFmtId="0" fontId="33" fillId="0" borderId="39" xfId="0" applyFont="1" applyBorder="1" applyAlignment="1">
      <alignment horizontal="center"/>
    </xf>
    <xf numFmtId="0" fontId="33" fillId="0" borderId="0" xfId="0" applyFont="1" applyBorder="1" applyAlignment="1">
      <alignment horizontal="center"/>
    </xf>
    <xf numFmtId="0" fontId="33" fillId="0" borderId="40" xfId="0" applyFont="1" applyBorder="1" applyAlignment="1">
      <alignment horizontal="center"/>
    </xf>
    <xf numFmtId="0" fontId="33" fillId="0" borderId="29" xfId="0" applyFont="1" applyBorder="1" applyAlignment="1">
      <alignment horizontal="center"/>
    </xf>
    <xf numFmtId="0" fontId="3" fillId="33" borderId="0" xfId="0" applyFont="1" applyFill="1" applyBorder="1" applyAlignment="1" applyProtection="1">
      <alignment horizontal="center" vertical="center" wrapText="1"/>
      <protection/>
    </xf>
    <xf numFmtId="0" fontId="3" fillId="33" borderId="37"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33" fillId="0" borderId="19" xfId="0" applyFont="1" applyBorder="1" applyAlignment="1">
      <alignment horizontal="center"/>
    </xf>
    <xf numFmtId="0" fontId="33" fillId="0" borderId="20" xfId="0" applyFont="1" applyBorder="1" applyAlignment="1">
      <alignment horizontal="center"/>
    </xf>
    <xf numFmtId="0" fontId="33" fillId="0" borderId="32" xfId="0" applyFont="1" applyBorder="1" applyAlignment="1">
      <alignment horizontal="center"/>
    </xf>
    <xf numFmtId="0" fontId="33" fillId="0" borderId="21" xfId="0" applyFont="1" applyBorder="1" applyAlignment="1">
      <alignment horizontal="center"/>
    </xf>
    <xf numFmtId="0" fontId="33" fillId="0" borderId="10" xfId="0" applyFont="1" applyBorder="1" applyAlignment="1">
      <alignment horizontal="center"/>
    </xf>
    <xf numFmtId="0" fontId="33" fillId="0" borderId="22" xfId="0" applyFont="1" applyBorder="1" applyAlignment="1">
      <alignment horizontal="center"/>
    </xf>
    <xf numFmtId="0" fontId="33" fillId="0" borderId="25" xfId="0" applyFont="1" applyBorder="1" applyAlignment="1">
      <alignment horizontal="center"/>
    </xf>
    <xf numFmtId="0" fontId="33" fillId="0" borderId="26" xfId="0" applyFont="1" applyBorder="1" applyAlignment="1">
      <alignment horizontal="center"/>
    </xf>
    <xf numFmtId="0" fontId="33" fillId="0" borderId="27" xfId="0" applyFont="1" applyBorder="1" applyAlignment="1">
      <alignment horizontal="center"/>
    </xf>
    <xf numFmtId="0" fontId="34" fillId="0" borderId="38" xfId="0" applyFont="1" applyBorder="1" applyAlignment="1">
      <alignment horizontal="center" wrapText="1"/>
    </xf>
    <xf numFmtId="0" fontId="34" fillId="0" borderId="28" xfId="0" applyFont="1" applyBorder="1" applyAlignment="1">
      <alignment horizontal="center" wrapText="1"/>
    </xf>
    <xf numFmtId="0" fontId="34" fillId="0" borderId="16" xfId="0" applyFont="1" applyBorder="1" applyAlignment="1">
      <alignment horizontal="center" wrapText="1"/>
    </xf>
    <xf numFmtId="0" fontId="34" fillId="0" borderId="39" xfId="0" applyFont="1" applyBorder="1" applyAlignment="1">
      <alignment horizontal="center" wrapText="1"/>
    </xf>
    <xf numFmtId="0" fontId="34" fillId="0" borderId="0" xfId="0" applyFont="1" applyBorder="1" applyAlignment="1">
      <alignment horizontal="center" wrapText="1"/>
    </xf>
    <xf numFmtId="0" fontId="34" fillId="0" borderId="17" xfId="0" applyFont="1" applyBorder="1" applyAlignment="1">
      <alignment horizontal="center" wrapText="1"/>
    </xf>
    <xf numFmtId="0" fontId="34" fillId="0" borderId="40" xfId="0" applyFont="1" applyBorder="1" applyAlignment="1">
      <alignment horizontal="center" wrapText="1"/>
    </xf>
    <xf numFmtId="0" fontId="34" fillId="0" borderId="29" xfId="0" applyFont="1" applyBorder="1" applyAlignment="1">
      <alignment horizontal="center" wrapText="1"/>
    </xf>
    <xf numFmtId="0" fontId="34" fillId="0" borderId="18" xfId="0" applyFont="1" applyBorder="1" applyAlignment="1">
      <alignment horizontal="center" wrapText="1"/>
    </xf>
    <xf numFmtId="0" fontId="33" fillId="0" borderId="16" xfId="0" applyFont="1" applyBorder="1" applyAlignment="1">
      <alignment horizontal="center"/>
    </xf>
    <xf numFmtId="0" fontId="33" fillId="0" borderId="17" xfId="0" applyFont="1" applyBorder="1" applyAlignment="1">
      <alignment horizontal="center"/>
    </xf>
    <xf numFmtId="0" fontId="33" fillId="0" borderId="18" xfId="0" applyFont="1" applyBorder="1" applyAlignment="1">
      <alignment horizontal="center"/>
    </xf>
    <xf numFmtId="0" fontId="33" fillId="0" borderId="38" xfId="0" applyFont="1" applyBorder="1" applyAlignment="1">
      <alignment horizontal="center" wrapText="1"/>
    </xf>
    <xf numFmtId="0" fontId="33" fillId="0" borderId="28" xfId="0" applyFont="1" applyBorder="1" applyAlignment="1">
      <alignment horizontal="center" wrapText="1"/>
    </xf>
    <xf numFmtId="0" fontId="33" fillId="0" borderId="16" xfId="0" applyFont="1" applyBorder="1" applyAlignment="1">
      <alignment horizontal="center" wrapText="1"/>
    </xf>
    <xf numFmtId="0" fontId="33" fillId="0" borderId="39" xfId="0" applyFont="1" applyBorder="1" applyAlignment="1">
      <alignment horizontal="center" wrapText="1"/>
    </xf>
    <xf numFmtId="0" fontId="33" fillId="0" borderId="0" xfId="0" applyFont="1" applyBorder="1" applyAlignment="1">
      <alignment horizontal="center" wrapText="1"/>
    </xf>
    <xf numFmtId="0" fontId="33" fillId="0" borderId="17" xfId="0" applyFont="1" applyBorder="1" applyAlignment="1">
      <alignment horizontal="center" wrapText="1"/>
    </xf>
    <xf numFmtId="0" fontId="33" fillId="0" borderId="40" xfId="0" applyFont="1" applyBorder="1" applyAlignment="1">
      <alignment horizontal="center" wrapText="1"/>
    </xf>
    <xf numFmtId="0" fontId="33" fillId="0" borderId="29" xfId="0" applyFont="1" applyBorder="1" applyAlignment="1">
      <alignment horizontal="center" wrapText="1"/>
    </xf>
    <xf numFmtId="0" fontId="33" fillId="0" borderId="18" xfId="0" applyFont="1" applyBorder="1" applyAlignment="1">
      <alignment horizontal="center" wrapText="1"/>
    </xf>
    <xf numFmtId="3" fontId="3" fillId="33" borderId="41" xfId="0" applyNumberFormat="1" applyFont="1" applyFill="1" applyBorder="1" applyAlignment="1" applyProtection="1">
      <alignment horizontal="center" vertical="center" wrapText="1"/>
      <protection/>
    </xf>
    <xf numFmtId="3" fontId="3" fillId="33" borderId="42" xfId="0" applyNumberFormat="1" applyFont="1" applyFill="1" applyBorder="1" applyAlignment="1" applyProtection="1">
      <alignment horizontal="center" vertical="center" wrapText="1"/>
      <protection/>
    </xf>
    <xf numFmtId="3" fontId="3" fillId="33" borderId="15" xfId="0" applyNumberFormat="1"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3" fillId="33" borderId="43" xfId="0" applyFont="1" applyFill="1" applyBorder="1" applyAlignment="1" applyProtection="1">
      <alignment horizontal="center" vertical="center" wrapText="1"/>
      <protection/>
    </xf>
    <xf numFmtId="0" fontId="40" fillId="33" borderId="0" xfId="0" applyFont="1" applyFill="1" applyBorder="1" applyAlignment="1" applyProtection="1">
      <alignment horizontal="center" vertical="center" wrapText="1"/>
      <protection/>
    </xf>
    <xf numFmtId="0" fontId="40" fillId="33" borderId="37" xfId="0" applyFont="1" applyFill="1" applyBorder="1" applyAlignment="1" applyProtection="1">
      <alignment horizontal="center" vertical="center" wrapText="1"/>
      <protection/>
    </xf>
    <xf numFmtId="0" fontId="40" fillId="33" borderId="11" xfId="0" applyFont="1" applyFill="1" applyBorder="1" applyAlignment="1" applyProtection="1">
      <alignment horizontal="center" vertical="center" wrapText="1"/>
      <protection/>
    </xf>
    <xf numFmtId="0" fontId="40" fillId="33" borderId="41" xfId="0" applyFont="1" applyFill="1" applyBorder="1" applyAlignment="1" applyProtection="1">
      <alignment horizontal="center" vertical="center" wrapText="1"/>
      <protection/>
    </xf>
    <xf numFmtId="0" fontId="40" fillId="33" borderId="42" xfId="0" applyFont="1" applyFill="1" applyBorder="1" applyAlignment="1" applyProtection="1">
      <alignment horizontal="center" vertical="center" wrapText="1"/>
      <protection/>
    </xf>
    <xf numFmtId="0" fontId="40" fillId="33" borderId="15" xfId="0" applyFont="1" applyFill="1" applyBorder="1" applyAlignment="1" applyProtection="1">
      <alignment horizontal="center" vertical="center" wrapText="1"/>
      <protection/>
    </xf>
    <xf numFmtId="0" fontId="40" fillId="33" borderId="11" xfId="0" applyFont="1" applyFill="1" applyBorder="1" applyAlignment="1" applyProtection="1">
      <alignment horizontal="center" vertical="center"/>
      <protection/>
    </xf>
    <xf numFmtId="0" fontId="40" fillId="33" borderId="37" xfId="0" applyFont="1" applyFill="1" applyBorder="1" applyAlignment="1" applyProtection="1">
      <alignment horizontal="center" vertical="center"/>
      <protection/>
    </xf>
    <xf numFmtId="0" fontId="38" fillId="0" borderId="12" xfId="0" applyFont="1" applyFill="1" applyBorder="1" applyAlignment="1" applyProtection="1">
      <alignment horizontal="left" vertical="center" wrapText="1" indent="1"/>
      <protection/>
    </xf>
    <xf numFmtId="0" fontId="38" fillId="0" borderId="33" xfId="0" applyFont="1" applyFill="1" applyBorder="1" applyAlignment="1" applyProtection="1">
      <alignment horizontal="left" vertical="center" wrapText="1" indent="1"/>
      <protection/>
    </xf>
    <xf numFmtId="0" fontId="38" fillId="0" borderId="13" xfId="0" applyFont="1" applyFill="1" applyBorder="1" applyAlignment="1" applyProtection="1">
      <alignment horizontal="left" vertical="center" wrapText="1" indent="1"/>
      <protection/>
    </xf>
    <xf numFmtId="0" fontId="38" fillId="0" borderId="34" xfId="0" applyFont="1" applyFill="1" applyBorder="1" applyAlignment="1" applyProtection="1">
      <alignment horizontal="center" vertical="center" wrapText="1"/>
      <protection/>
    </xf>
    <xf numFmtId="9" fontId="38" fillId="0" borderId="12" xfId="0" applyNumberFormat="1" applyFont="1" applyFill="1" applyBorder="1" applyAlignment="1" applyProtection="1">
      <alignment horizontal="center" vertical="center" wrapText="1"/>
      <protection/>
    </xf>
    <xf numFmtId="9" fontId="38" fillId="0" borderId="33" xfId="0" applyNumberFormat="1" applyFont="1" applyFill="1" applyBorder="1" applyAlignment="1" applyProtection="1">
      <alignment horizontal="center" vertical="center" wrapText="1"/>
      <protection/>
    </xf>
    <xf numFmtId="9" fontId="38" fillId="0" borderId="13" xfId="0" applyNumberFormat="1" applyFont="1" applyFill="1" applyBorder="1" applyAlignment="1" applyProtection="1">
      <alignment horizontal="center" vertical="center" wrapText="1"/>
      <protection/>
    </xf>
    <xf numFmtId="10" fontId="38" fillId="0" borderId="12" xfId="0" applyNumberFormat="1" applyFont="1" applyFill="1" applyBorder="1" applyAlignment="1" applyProtection="1">
      <alignment horizontal="center" vertical="center" wrapText="1"/>
      <protection locked="0"/>
    </xf>
    <xf numFmtId="10" fontId="38" fillId="0" borderId="33" xfId="0" applyNumberFormat="1" applyFont="1" applyFill="1" applyBorder="1" applyAlignment="1" applyProtection="1">
      <alignment horizontal="center" vertical="center" wrapText="1"/>
      <protection locked="0"/>
    </xf>
    <xf numFmtId="10" fontId="38" fillId="0" borderId="13" xfId="0" applyNumberFormat="1" applyFont="1" applyFill="1" applyBorder="1" applyAlignment="1" applyProtection="1">
      <alignment horizontal="center" vertical="center" wrapText="1"/>
      <protection locked="0"/>
    </xf>
    <xf numFmtId="169" fontId="38" fillId="0" borderId="12" xfId="50" applyNumberFormat="1" applyFont="1" applyFill="1" applyBorder="1" applyAlignment="1" applyProtection="1">
      <alignment horizontal="center" vertical="center" wrapText="1"/>
      <protection/>
    </xf>
    <xf numFmtId="169" fontId="38" fillId="0" borderId="33" xfId="50" applyNumberFormat="1" applyFont="1" applyFill="1" applyBorder="1" applyAlignment="1" applyProtection="1">
      <alignment horizontal="center" vertical="center" wrapText="1"/>
      <protection/>
    </xf>
    <xf numFmtId="169" fontId="38" fillId="0" borderId="13" xfId="50" applyNumberFormat="1" applyFont="1" applyFill="1" applyBorder="1" applyAlignment="1" applyProtection="1">
      <alignment horizontal="center" vertical="center" wrapText="1"/>
      <protection/>
    </xf>
    <xf numFmtId="0" fontId="42" fillId="0" borderId="12" xfId="0" applyFont="1" applyFill="1" applyBorder="1" applyAlignment="1" applyProtection="1">
      <alignment horizontal="justify" vertical="center" wrapText="1"/>
      <protection locked="0"/>
    </xf>
    <xf numFmtId="0" fontId="42" fillId="0" borderId="33" xfId="0" applyFont="1" applyFill="1" applyBorder="1" applyAlignment="1" applyProtection="1">
      <alignment horizontal="justify" vertical="center" wrapText="1"/>
      <protection locked="0"/>
    </xf>
    <xf numFmtId="0" fontId="42" fillId="0" borderId="13" xfId="0" applyFont="1" applyFill="1" applyBorder="1" applyAlignment="1" applyProtection="1">
      <alignment horizontal="justify" vertical="center" wrapText="1"/>
      <protection locked="0"/>
    </xf>
    <xf numFmtId="0" fontId="38" fillId="0" borderId="12" xfId="0" applyFont="1" applyFill="1" applyBorder="1" applyAlignment="1" applyProtection="1">
      <alignment horizontal="left" vertical="center" wrapText="1" indent="1"/>
      <protection locked="0"/>
    </xf>
    <xf numFmtId="0" fontId="38" fillId="0" borderId="33" xfId="0" applyFont="1" applyFill="1" applyBorder="1" applyAlignment="1" applyProtection="1">
      <alignment horizontal="left" vertical="center" wrapText="1" indent="1"/>
      <protection locked="0"/>
    </xf>
    <xf numFmtId="0" fontId="38" fillId="0" borderId="13" xfId="0" applyFont="1" applyFill="1" applyBorder="1" applyAlignment="1" applyProtection="1">
      <alignment horizontal="left" vertical="center" wrapText="1" indent="1"/>
      <protection locked="0"/>
    </xf>
    <xf numFmtId="0" fontId="38" fillId="0" borderId="24" xfId="0" applyFont="1" applyFill="1" applyBorder="1" applyAlignment="1" applyProtection="1">
      <alignment horizontal="left" vertical="center" wrapText="1" indent="1"/>
      <protection locked="0"/>
    </xf>
    <xf numFmtId="0" fontId="38" fillId="0" borderId="35" xfId="0" applyFont="1" applyFill="1" applyBorder="1" applyAlignment="1" applyProtection="1">
      <alignment horizontal="left" vertical="center" wrapText="1" indent="1"/>
      <protection locked="0"/>
    </xf>
    <xf numFmtId="0" fontId="38" fillId="0" borderId="36" xfId="0" applyFont="1" applyFill="1" applyBorder="1" applyAlignment="1" applyProtection="1">
      <alignment horizontal="left" vertical="center" wrapText="1" indent="1"/>
      <protection locked="0"/>
    </xf>
    <xf numFmtId="0" fontId="38" fillId="0" borderId="12" xfId="0" applyFont="1" applyFill="1" applyBorder="1" applyAlignment="1" applyProtection="1">
      <alignment horizontal="justify" vertical="top" wrapText="1"/>
      <protection/>
    </xf>
    <xf numFmtId="0" fontId="38" fillId="0" borderId="33" xfId="0" applyFont="1" applyFill="1" applyBorder="1" applyAlignment="1" applyProtection="1">
      <alignment horizontal="justify" vertical="top" wrapText="1"/>
      <protection/>
    </xf>
    <xf numFmtId="0" fontId="38" fillId="0" borderId="13" xfId="0" applyFont="1" applyFill="1" applyBorder="1" applyAlignment="1" applyProtection="1">
      <alignment horizontal="justify" vertical="top" wrapText="1"/>
      <protection/>
    </xf>
    <xf numFmtId="9" fontId="44" fillId="0" borderId="12" xfId="0" applyNumberFormat="1" applyFont="1" applyFill="1" applyBorder="1" applyAlignment="1" applyProtection="1">
      <alignment horizontal="center" vertical="center" wrapText="1"/>
      <protection/>
    </xf>
    <xf numFmtId="9" fontId="44" fillId="0" borderId="33" xfId="0" applyNumberFormat="1" applyFont="1" applyFill="1" applyBorder="1" applyAlignment="1" applyProtection="1">
      <alignment horizontal="center" vertical="center" wrapText="1"/>
      <protection/>
    </xf>
    <xf numFmtId="9" fontId="44" fillId="0" borderId="13" xfId="0" applyNumberFormat="1" applyFont="1" applyFill="1" applyBorder="1" applyAlignment="1" applyProtection="1">
      <alignment horizontal="center" vertical="center" wrapText="1"/>
      <protection/>
    </xf>
    <xf numFmtId="10" fontId="44" fillId="0" borderId="12" xfId="0" applyNumberFormat="1" applyFont="1" applyFill="1" applyBorder="1" applyAlignment="1" applyProtection="1">
      <alignment horizontal="center" vertical="center" wrapText="1"/>
      <protection locked="0"/>
    </xf>
    <xf numFmtId="10" fontId="44" fillId="0" borderId="33" xfId="0" applyNumberFormat="1" applyFont="1" applyFill="1" applyBorder="1" applyAlignment="1" applyProtection="1">
      <alignment horizontal="center" vertical="center" wrapText="1"/>
      <protection locked="0"/>
    </xf>
    <xf numFmtId="10" fontId="44" fillId="0" borderId="13" xfId="0" applyNumberFormat="1" applyFont="1" applyFill="1" applyBorder="1" applyAlignment="1" applyProtection="1">
      <alignment horizontal="center" vertical="center" wrapText="1"/>
      <protection locked="0"/>
    </xf>
    <xf numFmtId="0" fontId="44" fillId="0" borderId="12" xfId="0" applyFont="1" applyFill="1" applyBorder="1" applyAlignment="1" applyProtection="1">
      <alignment horizontal="justify" vertical="top" wrapText="1"/>
      <protection locked="0"/>
    </xf>
    <xf numFmtId="0" fontId="44" fillId="0" borderId="33" xfId="0" applyFont="1" applyFill="1" applyBorder="1" applyAlignment="1" applyProtection="1">
      <alignment horizontal="justify" vertical="top"/>
      <protection locked="0"/>
    </xf>
    <xf numFmtId="0" fontId="44" fillId="0" borderId="13" xfId="0" applyFont="1" applyFill="1" applyBorder="1" applyAlignment="1" applyProtection="1">
      <alignment horizontal="justify" vertical="top"/>
      <protection locked="0"/>
    </xf>
    <xf numFmtId="0" fontId="44" fillId="34" borderId="12" xfId="0" applyFont="1" applyFill="1" applyBorder="1" applyAlignment="1" applyProtection="1">
      <alignment horizontal="justify" vertical="top" wrapText="1"/>
      <protection locked="0"/>
    </xf>
    <xf numFmtId="0" fontId="44" fillId="34" borderId="33" xfId="0" applyFont="1" applyFill="1" applyBorder="1" applyAlignment="1" applyProtection="1">
      <alignment horizontal="justify" vertical="top"/>
      <protection locked="0"/>
    </xf>
    <xf numFmtId="0" fontId="44" fillId="34" borderId="13" xfId="0" applyFont="1" applyFill="1" applyBorder="1" applyAlignment="1" applyProtection="1">
      <alignment horizontal="justify" vertical="top"/>
      <protection locked="0"/>
    </xf>
    <xf numFmtId="0" fontId="44" fillId="0" borderId="12" xfId="0" applyFont="1" applyFill="1" applyBorder="1" applyAlignment="1" applyProtection="1">
      <alignment horizontal="left" vertical="center" wrapText="1" indent="1"/>
      <protection locked="0"/>
    </xf>
    <xf numFmtId="0" fontId="44" fillId="0" borderId="33" xfId="0" applyFont="1" applyFill="1" applyBorder="1" applyAlignment="1" applyProtection="1">
      <alignment horizontal="left" vertical="center" wrapText="1" indent="1"/>
      <protection locked="0"/>
    </xf>
    <xf numFmtId="0" fontId="44" fillId="0" borderId="13" xfId="0" applyFont="1" applyFill="1" applyBorder="1" applyAlignment="1" applyProtection="1">
      <alignment horizontal="left" vertical="center" wrapText="1" indent="1"/>
      <protection locked="0"/>
    </xf>
    <xf numFmtId="0" fontId="12" fillId="33" borderId="44" xfId="0" applyFont="1" applyFill="1" applyBorder="1" applyAlignment="1" applyProtection="1">
      <alignment horizontal="center" vertical="center" wrapText="1"/>
      <protection/>
    </xf>
    <xf numFmtId="0" fontId="12" fillId="33" borderId="45" xfId="0" applyFont="1" applyFill="1" applyBorder="1" applyAlignment="1" applyProtection="1">
      <alignment horizontal="center" vertical="center" wrapText="1"/>
      <protection/>
    </xf>
    <xf numFmtId="0" fontId="10" fillId="33" borderId="31" xfId="0" applyFont="1" applyFill="1" applyBorder="1" applyAlignment="1" applyProtection="1">
      <alignment horizontal="center" vertical="center" wrapText="1"/>
      <protection/>
    </xf>
    <xf numFmtId="0" fontId="10" fillId="33" borderId="46"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center" wrapText="1"/>
      <protection/>
    </xf>
    <xf numFmtId="0" fontId="3" fillId="33" borderId="48" xfId="0" applyFont="1" applyFill="1" applyBorder="1" applyAlignment="1" applyProtection="1">
      <alignment horizontal="center" vertical="center" wrapText="1"/>
      <protection/>
    </xf>
    <xf numFmtId="0" fontId="15" fillId="35" borderId="49" xfId="0" applyFont="1" applyFill="1" applyBorder="1" applyAlignment="1" applyProtection="1">
      <alignment horizontal="center" vertical="center"/>
      <protection/>
    </xf>
    <xf numFmtId="0" fontId="15" fillId="35" borderId="50" xfId="0" applyFont="1" applyFill="1" applyBorder="1" applyAlignment="1" applyProtection="1">
      <alignment horizontal="center" vertical="center"/>
      <protection/>
    </xf>
    <xf numFmtId="0" fontId="15" fillId="35" borderId="51" xfId="0" applyFont="1" applyFill="1" applyBorder="1" applyAlignment="1" applyProtection="1">
      <alignment horizontal="center" vertical="center"/>
      <protection/>
    </xf>
    <xf numFmtId="0" fontId="3" fillId="33" borderId="52" xfId="0" applyFont="1" applyFill="1" applyBorder="1" applyAlignment="1" applyProtection="1">
      <alignment horizontal="center" vertical="center" wrapText="1"/>
      <protection/>
    </xf>
    <xf numFmtId="0" fontId="12" fillId="33" borderId="53" xfId="0" applyFont="1" applyFill="1" applyBorder="1" applyAlignment="1" applyProtection="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Moneda 2" xfId="53"/>
    <cellStyle name="Neutral" xfId="54"/>
    <cellStyle name="Normal 2" xfId="55"/>
    <cellStyle name="Normal_Actividades" xfId="56"/>
    <cellStyle name="Notas" xfId="57"/>
    <cellStyle name="Porcentaje 2" xfId="58"/>
    <cellStyle name="Percent" xfId="59"/>
    <cellStyle name="Porcentual 2" xfId="60"/>
    <cellStyle name="Porcentual 3" xfId="61"/>
    <cellStyle name="Porcentual 4"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12">
    <dxf>
      <fill>
        <patternFill>
          <bgColor theme="1"/>
        </patternFill>
      </fill>
    </dxf>
    <dxf>
      <fill>
        <patternFill>
          <bgColor theme="1" tint="0.49998000264167786"/>
        </patternFill>
      </fill>
    </dxf>
    <dxf>
      <font>
        <color indexed="9"/>
      </font>
      <fill>
        <patternFill>
          <bgColor indexed="10"/>
        </patternFill>
      </fill>
    </dxf>
    <dxf>
      <font>
        <color theme="0"/>
      </font>
      <fill>
        <patternFill>
          <bgColor theme="5"/>
        </patternFill>
      </fill>
    </dxf>
    <dxf>
      <font>
        <color indexed="9"/>
      </font>
      <fill>
        <patternFill>
          <bgColor indexed="10"/>
        </patternFill>
      </fill>
    </dxf>
    <dxf>
      <font>
        <color theme="0"/>
      </font>
      <fill>
        <patternFill>
          <bgColor theme="5"/>
        </patternFill>
      </fill>
    </dxf>
    <dxf>
      <fill>
        <patternFill>
          <bgColor theme="1"/>
        </patternFill>
      </fill>
    </dxf>
    <dxf>
      <fill>
        <patternFill>
          <bgColor theme="1" tint="0.49998000264167786"/>
        </patternFill>
      </fill>
    </dxf>
    <dxf>
      <font>
        <color indexed="9"/>
      </font>
      <fill>
        <patternFill>
          <bgColor indexed="10"/>
        </patternFill>
      </fill>
    </dxf>
    <dxf>
      <font>
        <color theme="0"/>
      </font>
      <fill>
        <patternFill>
          <bgColor theme="5"/>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19</xdr:col>
      <xdr:colOff>1152525</xdr:colOff>
      <xdr:row>7</xdr:row>
      <xdr:rowOff>161925</xdr:rowOff>
    </xdr:to>
    <xdr:pic>
      <xdr:nvPicPr>
        <xdr:cNvPr id="1" name="3 Imagen" descr="SIG.jpg"/>
        <xdr:cNvPicPr preferRelativeResize="1">
          <a:picLocks noChangeAspect="1"/>
        </xdr:cNvPicPr>
      </xdr:nvPicPr>
      <xdr:blipFill>
        <a:blip r:embed="rId1"/>
        <a:stretch>
          <a:fillRect/>
        </a:stretch>
      </xdr:blipFill>
      <xdr:spPr>
        <a:xfrm>
          <a:off x="10106025" y="371475"/>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104775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7</xdr:row>
      <xdr:rowOff>57150</xdr:rowOff>
    </xdr:to>
    <xdr:pic>
      <xdr:nvPicPr>
        <xdr:cNvPr id="3" name="3 Imagen" descr="SIG.jpg"/>
        <xdr:cNvPicPr preferRelativeResize="1">
          <a:picLocks noChangeAspect="1"/>
        </xdr:cNvPicPr>
      </xdr:nvPicPr>
      <xdr:blipFill>
        <a:blip r:embed="rId1"/>
        <a:stretch>
          <a:fillRect/>
        </a:stretch>
      </xdr:blipFill>
      <xdr:spPr>
        <a:xfrm>
          <a:off x="36423600"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95250</xdr:rowOff>
    </xdr:to>
    <xdr:pic>
      <xdr:nvPicPr>
        <xdr:cNvPr id="4" name="6 Imagen" descr="Escudo Bogotá_sds_color.jpg"/>
        <xdr:cNvPicPr preferRelativeResize="1">
          <a:picLocks noChangeAspect="1"/>
        </xdr:cNvPicPr>
      </xdr:nvPicPr>
      <xdr:blipFill>
        <a:blip r:embed="rId2"/>
        <a:stretch>
          <a:fillRect/>
        </a:stretch>
      </xdr:blipFill>
      <xdr:spPr>
        <a:xfrm>
          <a:off x="14601825" y="381000"/>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14</xdr:col>
      <xdr:colOff>238125</xdr:colOff>
      <xdr:row>8</xdr:row>
      <xdr:rowOff>76200</xdr:rowOff>
    </xdr:to>
    <xdr:pic>
      <xdr:nvPicPr>
        <xdr:cNvPr id="1" name="3 Imagen" descr="SIG.jpg"/>
        <xdr:cNvPicPr preferRelativeResize="1">
          <a:picLocks noChangeAspect="1"/>
        </xdr:cNvPicPr>
      </xdr:nvPicPr>
      <xdr:blipFill>
        <a:blip r:embed="rId1"/>
        <a:stretch>
          <a:fillRect/>
        </a:stretch>
      </xdr:blipFill>
      <xdr:spPr>
        <a:xfrm>
          <a:off x="6819900" y="533400"/>
          <a:ext cx="1000125" cy="771525"/>
        </a:xfrm>
        <a:prstGeom prst="rect">
          <a:avLst/>
        </a:prstGeom>
        <a:noFill/>
        <a:ln w="9525" cmpd="sng">
          <a:noFill/>
        </a:ln>
      </xdr:spPr>
    </xdr:pic>
    <xdr:clientData/>
  </xdr:twoCellAnchor>
  <xdr:twoCellAnchor editAs="oneCell">
    <xdr:from>
      <xdr:col>0</xdr:col>
      <xdr:colOff>428625</xdr:colOff>
      <xdr:row>1</xdr:row>
      <xdr:rowOff>38100</xdr:rowOff>
    </xdr:from>
    <xdr:to>
      <xdr:col>3</xdr:col>
      <xdr:colOff>371475</xdr:colOff>
      <xdr:row>7</xdr:row>
      <xdr:rowOff>57150</xdr:rowOff>
    </xdr:to>
    <xdr:pic>
      <xdr:nvPicPr>
        <xdr:cNvPr id="2" name="10 Imagen" descr="Escudo Bogotá_sds_color.jpg"/>
        <xdr:cNvPicPr preferRelativeResize="1">
          <a:picLocks noChangeAspect="1"/>
        </xdr:cNvPicPr>
      </xdr:nvPicPr>
      <xdr:blipFill>
        <a:blip r:embed="rId2"/>
        <a:stretch>
          <a:fillRect/>
        </a:stretch>
      </xdr:blipFill>
      <xdr:spPr>
        <a:xfrm>
          <a:off x="0" y="190500"/>
          <a:ext cx="809625" cy="933450"/>
        </a:xfrm>
        <a:prstGeom prst="rect">
          <a:avLst/>
        </a:prstGeom>
        <a:noFill/>
        <a:ln w="9525" cmpd="sng">
          <a:noFill/>
        </a:ln>
      </xdr:spPr>
    </xdr:pic>
    <xdr:clientData/>
  </xdr:twoCellAnchor>
  <xdr:twoCellAnchor editAs="oneCell">
    <xdr:from>
      <xdr:col>48</xdr:col>
      <xdr:colOff>762000</xdr:colOff>
      <xdr:row>1</xdr:row>
      <xdr:rowOff>9525</xdr:rowOff>
    </xdr:from>
    <xdr:to>
      <xdr:col>48</xdr:col>
      <xdr:colOff>0</xdr:colOff>
      <xdr:row>7</xdr:row>
      <xdr:rowOff>114300</xdr:rowOff>
    </xdr:to>
    <xdr:pic>
      <xdr:nvPicPr>
        <xdr:cNvPr id="3" name="3 Imagen" descr="SIG.jpg"/>
        <xdr:cNvPicPr preferRelativeResize="1">
          <a:picLocks noChangeAspect="1"/>
        </xdr:cNvPicPr>
      </xdr:nvPicPr>
      <xdr:blipFill>
        <a:blip r:embed="rId1"/>
        <a:stretch>
          <a:fillRect/>
        </a:stretch>
      </xdr:blipFill>
      <xdr:spPr>
        <a:xfrm>
          <a:off x="35871150" y="161925"/>
          <a:ext cx="0" cy="1019175"/>
        </a:xfrm>
        <a:prstGeom prst="rect">
          <a:avLst/>
        </a:prstGeom>
        <a:noFill/>
        <a:ln w="9525" cmpd="sng">
          <a:noFill/>
        </a:ln>
      </xdr:spPr>
    </xdr:pic>
    <xdr:clientData/>
  </xdr:twoCellAnchor>
  <xdr:twoCellAnchor editAs="oneCell">
    <xdr:from>
      <xdr:col>15</xdr:col>
      <xdr:colOff>495300</xdr:colOff>
      <xdr:row>1</xdr:row>
      <xdr:rowOff>152400</xdr:rowOff>
    </xdr:from>
    <xdr:to>
      <xdr:col>16</xdr:col>
      <xdr:colOff>314325</xdr:colOff>
      <xdr:row>8</xdr:row>
      <xdr:rowOff>76200</xdr:rowOff>
    </xdr:to>
    <xdr:pic>
      <xdr:nvPicPr>
        <xdr:cNvPr id="4" name="12 Imagen" descr="Escudo Bogotá_sds_color.jpg"/>
        <xdr:cNvPicPr preferRelativeResize="1">
          <a:picLocks noChangeAspect="1"/>
        </xdr:cNvPicPr>
      </xdr:nvPicPr>
      <xdr:blipFill>
        <a:blip r:embed="rId2"/>
        <a:stretch>
          <a:fillRect/>
        </a:stretch>
      </xdr:blipFill>
      <xdr:spPr>
        <a:xfrm>
          <a:off x="9344025" y="304800"/>
          <a:ext cx="923925" cy="981075"/>
        </a:xfrm>
        <a:prstGeom prst="rect">
          <a:avLst/>
        </a:prstGeom>
        <a:noFill/>
        <a:ln w="9525" cmpd="sng">
          <a:noFill/>
        </a:ln>
      </xdr:spPr>
    </xdr:pic>
    <xdr:clientData/>
  </xdr:twoCellAnchor>
  <xdr:twoCellAnchor editAs="oneCell">
    <xdr:from>
      <xdr:col>17</xdr:col>
      <xdr:colOff>561975</xdr:colOff>
      <xdr:row>2</xdr:row>
      <xdr:rowOff>104775</xdr:rowOff>
    </xdr:from>
    <xdr:to>
      <xdr:col>18</xdr:col>
      <xdr:colOff>485775</xdr:colOff>
      <xdr:row>7</xdr:row>
      <xdr:rowOff>95250</xdr:rowOff>
    </xdr:to>
    <xdr:pic>
      <xdr:nvPicPr>
        <xdr:cNvPr id="5" name="3 Imagen" descr="SIG.jpg"/>
        <xdr:cNvPicPr preferRelativeResize="1">
          <a:picLocks noChangeAspect="1"/>
        </xdr:cNvPicPr>
      </xdr:nvPicPr>
      <xdr:blipFill>
        <a:blip r:embed="rId1"/>
        <a:stretch>
          <a:fillRect/>
        </a:stretch>
      </xdr:blipFill>
      <xdr:spPr>
        <a:xfrm>
          <a:off x="11630025" y="409575"/>
          <a:ext cx="962025" cy="752475"/>
        </a:xfrm>
        <a:prstGeom prst="rect">
          <a:avLst/>
        </a:prstGeom>
        <a:noFill/>
        <a:ln w="9525" cmpd="sng">
          <a:noFill/>
        </a:ln>
      </xdr:spPr>
    </xdr:pic>
    <xdr:clientData/>
  </xdr:twoCellAnchor>
  <xdr:twoCellAnchor editAs="oneCell">
    <xdr:from>
      <xdr:col>17</xdr:col>
      <xdr:colOff>857250</xdr:colOff>
      <xdr:row>1</xdr:row>
      <xdr:rowOff>76200</xdr:rowOff>
    </xdr:from>
    <xdr:to>
      <xdr:col>18</xdr:col>
      <xdr:colOff>762000</xdr:colOff>
      <xdr:row>7</xdr:row>
      <xdr:rowOff>142875</xdr:rowOff>
    </xdr:to>
    <xdr:pic>
      <xdr:nvPicPr>
        <xdr:cNvPr id="6" name="15 Imagen" descr="Escudo Bogotá_sds_color.jpg"/>
        <xdr:cNvPicPr preferRelativeResize="1">
          <a:picLocks noChangeAspect="1"/>
        </xdr:cNvPicPr>
      </xdr:nvPicPr>
      <xdr:blipFill>
        <a:blip r:embed="rId2"/>
        <a:stretch>
          <a:fillRect/>
        </a:stretch>
      </xdr:blipFill>
      <xdr:spPr>
        <a:xfrm>
          <a:off x="11925300" y="228600"/>
          <a:ext cx="94297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20</xdr:col>
      <xdr:colOff>219075</xdr:colOff>
      <xdr:row>7</xdr:row>
      <xdr:rowOff>114300</xdr:rowOff>
    </xdr:to>
    <xdr:pic>
      <xdr:nvPicPr>
        <xdr:cNvPr id="1" name="3 Imagen" descr="SIG.jpg"/>
        <xdr:cNvPicPr preferRelativeResize="1">
          <a:picLocks noChangeAspect="1"/>
        </xdr:cNvPicPr>
      </xdr:nvPicPr>
      <xdr:blipFill>
        <a:blip r:embed="rId1"/>
        <a:stretch>
          <a:fillRect/>
        </a:stretch>
      </xdr:blipFill>
      <xdr:spPr>
        <a:xfrm>
          <a:off x="9420225" y="381000"/>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47625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7</xdr:row>
      <xdr:rowOff>0</xdr:rowOff>
    </xdr:to>
    <xdr:pic>
      <xdr:nvPicPr>
        <xdr:cNvPr id="3" name="3 Imagen" descr="SIG.jpg"/>
        <xdr:cNvPicPr preferRelativeResize="1">
          <a:picLocks noChangeAspect="1"/>
        </xdr:cNvPicPr>
      </xdr:nvPicPr>
      <xdr:blipFill>
        <a:blip r:embed="rId1"/>
        <a:stretch>
          <a:fillRect/>
        </a:stretch>
      </xdr:blipFill>
      <xdr:spPr>
        <a:xfrm>
          <a:off x="38128575"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4" name="6 Imagen" descr="Escudo Bogotá_sds_color.jpg"/>
        <xdr:cNvPicPr preferRelativeResize="1">
          <a:picLocks noChangeAspect="1"/>
        </xdr:cNvPicPr>
      </xdr:nvPicPr>
      <xdr:blipFill>
        <a:blip r:embed="rId2"/>
        <a:stretch>
          <a:fillRect/>
        </a:stretch>
      </xdr:blipFill>
      <xdr:spPr>
        <a:xfrm>
          <a:off x="13173075" y="390525"/>
          <a:ext cx="1028700"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304800</xdr:colOff>
      <xdr:row>1</xdr:row>
      <xdr:rowOff>66675</xdr:rowOff>
    </xdr:from>
    <xdr:to>
      <xdr:col>13</xdr:col>
      <xdr:colOff>1304925</xdr:colOff>
      <xdr:row>6</xdr:row>
      <xdr:rowOff>76200</xdr:rowOff>
    </xdr:to>
    <xdr:pic>
      <xdr:nvPicPr>
        <xdr:cNvPr id="1" name="3 Imagen" descr="SIG.jpg"/>
        <xdr:cNvPicPr preferRelativeResize="1">
          <a:picLocks noChangeAspect="1"/>
        </xdr:cNvPicPr>
      </xdr:nvPicPr>
      <xdr:blipFill>
        <a:blip r:embed="rId1"/>
        <a:stretch>
          <a:fillRect/>
        </a:stretch>
      </xdr:blipFill>
      <xdr:spPr>
        <a:xfrm>
          <a:off x="11506200" y="219075"/>
          <a:ext cx="1000125" cy="771525"/>
        </a:xfrm>
        <a:prstGeom prst="rect">
          <a:avLst/>
        </a:prstGeom>
        <a:noFill/>
        <a:ln w="9525" cmpd="sng">
          <a:noFill/>
        </a:ln>
      </xdr:spPr>
    </xdr:pic>
    <xdr:clientData/>
  </xdr:twoCellAnchor>
  <xdr:twoCellAnchor editAs="oneCell">
    <xdr:from>
      <xdr:col>0</xdr:col>
      <xdr:colOff>466725</xdr:colOff>
      <xdr:row>1</xdr:row>
      <xdr:rowOff>38100</xdr:rowOff>
    </xdr:from>
    <xdr:to>
      <xdr:col>3</xdr:col>
      <xdr:colOff>171450</xdr:colOff>
      <xdr:row>7</xdr:row>
      <xdr:rowOff>57150</xdr:rowOff>
    </xdr:to>
    <xdr:pic>
      <xdr:nvPicPr>
        <xdr:cNvPr id="2" name="10 Imagen" descr="Escudo Bogotá_sds_color.jpg"/>
        <xdr:cNvPicPr preferRelativeResize="1">
          <a:picLocks noChangeAspect="1"/>
        </xdr:cNvPicPr>
      </xdr:nvPicPr>
      <xdr:blipFill>
        <a:blip r:embed="rId2"/>
        <a:stretch>
          <a:fillRect/>
        </a:stretch>
      </xdr:blipFill>
      <xdr:spPr>
        <a:xfrm>
          <a:off x="0" y="190500"/>
          <a:ext cx="809625" cy="933450"/>
        </a:xfrm>
        <a:prstGeom prst="rect">
          <a:avLst/>
        </a:prstGeom>
        <a:noFill/>
        <a:ln w="9525" cmpd="sng">
          <a:noFill/>
        </a:ln>
      </xdr:spPr>
    </xdr:pic>
    <xdr:clientData/>
  </xdr:twoCellAnchor>
  <xdr:twoCellAnchor editAs="oneCell">
    <xdr:from>
      <xdr:col>48</xdr:col>
      <xdr:colOff>762000</xdr:colOff>
      <xdr:row>1</xdr:row>
      <xdr:rowOff>9525</xdr:rowOff>
    </xdr:from>
    <xdr:to>
      <xdr:col>48</xdr:col>
      <xdr:colOff>762000</xdr:colOff>
      <xdr:row>7</xdr:row>
      <xdr:rowOff>114300</xdr:rowOff>
    </xdr:to>
    <xdr:pic>
      <xdr:nvPicPr>
        <xdr:cNvPr id="3" name="3 Imagen" descr="SIG.jpg"/>
        <xdr:cNvPicPr preferRelativeResize="1">
          <a:picLocks noChangeAspect="1"/>
        </xdr:cNvPicPr>
      </xdr:nvPicPr>
      <xdr:blipFill>
        <a:blip r:embed="rId1"/>
        <a:stretch>
          <a:fillRect/>
        </a:stretch>
      </xdr:blipFill>
      <xdr:spPr>
        <a:xfrm>
          <a:off x="50968275" y="161925"/>
          <a:ext cx="0" cy="1019175"/>
        </a:xfrm>
        <a:prstGeom prst="rect">
          <a:avLst/>
        </a:prstGeom>
        <a:noFill/>
        <a:ln w="9525" cmpd="sng">
          <a:noFill/>
        </a:ln>
      </xdr:spPr>
    </xdr:pic>
    <xdr:clientData/>
  </xdr:twoCellAnchor>
  <xdr:twoCellAnchor editAs="oneCell">
    <xdr:from>
      <xdr:col>15</xdr:col>
      <xdr:colOff>495300</xdr:colOff>
      <xdr:row>0</xdr:row>
      <xdr:rowOff>152400</xdr:rowOff>
    </xdr:from>
    <xdr:to>
      <xdr:col>16</xdr:col>
      <xdr:colOff>114300</xdr:colOff>
      <xdr:row>7</xdr:row>
      <xdr:rowOff>66675</xdr:rowOff>
    </xdr:to>
    <xdr:pic>
      <xdr:nvPicPr>
        <xdr:cNvPr id="4" name="12 Imagen" descr="Escudo Bogotá_sds_color.jpg"/>
        <xdr:cNvPicPr preferRelativeResize="1">
          <a:picLocks noChangeAspect="1"/>
        </xdr:cNvPicPr>
      </xdr:nvPicPr>
      <xdr:blipFill>
        <a:blip r:embed="rId2"/>
        <a:stretch>
          <a:fillRect/>
        </a:stretch>
      </xdr:blipFill>
      <xdr:spPr>
        <a:xfrm>
          <a:off x="14525625" y="152400"/>
          <a:ext cx="933450" cy="9810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7</xdr:row>
      <xdr:rowOff>95250</xdr:rowOff>
    </xdr:to>
    <xdr:pic>
      <xdr:nvPicPr>
        <xdr:cNvPr id="5" name="3 Imagen" descr="SIG.jpg"/>
        <xdr:cNvPicPr preferRelativeResize="1">
          <a:picLocks noChangeAspect="1"/>
        </xdr:cNvPicPr>
      </xdr:nvPicPr>
      <xdr:blipFill>
        <a:blip r:embed="rId1"/>
        <a:stretch>
          <a:fillRect/>
        </a:stretch>
      </xdr:blipFill>
      <xdr:spPr>
        <a:xfrm>
          <a:off x="35947350" y="409575"/>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7</xdr:row>
      <xdr:rowOff>142875</xdr:rowOff>
    </xdr:to>
    <xdr:pic>
      <xdr:nvPicPr>
        <xdr:cNvPr id="6" name="15 Imagen" descr="Escudo Bogotá_sds_color.jpg"/>
        <xdr:cNvPicPr preferRelativeResize="1">
          <a:picLocks noChangeAspect="1"/>
        </xdr:cNvPicPr>
      </xdr:nvPicPr>
      <xdr:blipFill>
        <a:blip r:embed="rId2"/>
        <a:stretch>
          <a:fillRect/>
        </a:stretch>
      </xdr:blipFill>
      <xdr:spPr>
        <a:xfrm>
          <a:off x="38014275" y="228600"/>
          <a:ext cx="942975" cy="981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19</xdr:col>
      <xdr:colOff>1152525</xdr:colOff>
      <xdr:row>7</xdr:row>
      <xdr:rowOff>114300</xdr:rowOff>
    </xdr:to>
    <xdr:pic>
      <xdr:nvPicPr>
        <xdr:cNvPr id="1" name="3 Imagen" descr="SIG.jpg"/>
        <xdr:cNvPicPr preferRelativeResize="1">
          <a:picLocks noChangeAspect="1"/>
        </xdr:cNvPicPr>
      </xdr:nvPicPr>
      <xdr:blipFill>
        <a:blip r:embed="rId1"/>
        <a:stretch>
          <a:fillRect/>
        </a:stretch>
      </xdr:blipFill>
      <xdr:spPr>
        <a:xfrm>
          <a:off x="12325350" y="381000"/>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47625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7</xdr:row>
      <xdr:rowOff>0</xdr:rowOff>
    </xdr:to>
    <xdr:pic>
      <xdr:nvPicPr>
        <xdr:cNvPr id="3" name="3 Imagen" descr="SIG.jpg"/>
        <xdr:cNvPicPr preferRelativeResize="1">
          <a:picLocks noChangeAspect="1"/>
        </xdr:cNvPicPr>
      </xdr:nvPicPr>
      <xdr:blipFill>
        <a:blip r:embed="rId1"/>
        <a:stretch>
          <a:fillRect/>
        </a:stretch>
      </xdr:blipFill>
      <xdr:spPr>
        <a:xfrm>
          <a:off x="44491275"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4" name="6 Imagen" descr="Escudo Bogotá_sds_color.jpg"/>
        <xdr:cNvPicPr preferRelativeResize="1">
          <a:picLocks noChangeAspect="1"/>
        </xdr:cNvPicPr>
      </xdr:nvPicPr>
      <xdr:blipFill>
        <a:blip r:embed="rId2"/>
        <a:stretch>
          <a:fillRect/>
        </a:stretch>
      </xdr:blipFill>
      <xdr:spPr>
        <a:xfrm>
          <a:off x="16821150" y="390525"/>
          <a:ext cx="1028700" cy="981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13</xdr:col>
      <xdr:colOff>1276350</xdr:colOff>
      <xdr:row>7</xdr:row>
      <xdr:rowOff>85725</xdr:rowOff>
    </xdr:to>
    <xdr:pic>
      <xdr:nvPicPr>
        <xdr:cNvPr id="1" name="3 Imagen" descr="SIG.jpg"/>
        <xdr:cNvPicPr preferRelativeResize="1">
          <a:picLocks noChangeAspect="1"/>
        </xdr:cNvPicPr>
      </xdr:nvPicPr>
      <xdr:blipFill>
        <a:blip r:embed="rId1"/>
        <a:stretch>
          <a:fillRect/>
        </a:stretch>
      </xdr:blipFill>
      <xdr:spPr>
        <a:xfrm>
          <a:off x="11649075" y="638175"/>
          <a:ext cx="1000125" cy="771525"/>
        </a:xfrm>
        <a:prstGeom prst="rect">
          <a:avLst/>
        </a:prstGeom>
        <a:noFill/>
        <a:ln w="9525" cmpd="sng">
          <a:noFill/>
        </a:ln>
      </xdr:spPr>
    </xdr:pic>
    <xdr:clientData/>
  </xdr:twoCellAnchor>
  <xdr:twoCellAnchor editAs="oneCell">
    <xdr:from>
      <xdr:col>0</xdr:col>
      <xdr:colOff>247650</xdr:colOff>
      <xdr:row>1</xdr:row>
      <xdr:rowOff>38100</xdr:rowOff>
    </xdr:from>
    <xdr:to>
      <xdr:col>3</xdr:col>
      <xdr:colOff>133350</xdr:colOff>
      <xdr:row>6</xdr:row>
      <xdr:rowOff>19050</xdr:rowOff>
    </xdr:to>
    <xdr:pic>
      <xdr:nvPicPr>
        <xdr:cNvPr id="2" name="10 Imagen" descr="Escudo Bogotá_sds_color.jpg"/>
        <xdr:cNvPicPr preferRelativeResize="1">
          <a:picLocks noChangeAspect="1"/>
        </xdr:cNvPicPr>
      </xdr:nvPicPr>
      <xdr:blipFill>
        <a:blip r:embed="rId2"/>
        <a:stretch>
          <a:fillRect/>
        </a:stretch>
      </xdr:blipFill>
      <xdr:spPr>
        <a:xfrm>
          <a:off x="0" y="219075"/>
          <a:ext cx="809625" cy="933450"/>
        </a:xfrm>
        <a:prstGeom prst="rect">
          <a:avLst/>
        </a:prstGeom>
        <a:noFill/>
        <a:ln w="9525" cmpd="sng">
          <a:noFill/>
        </a:ln>
      </xdr:spPr>
    </xdr:pic>
    <xdr:clientData/>
  </xdr:twoCellAnchor>
  <xdr:twoCellAnchor editAs="oneCell">
    <xdr:from>
      <xdr:col>48</xdr:col>
      <xdr:colOff>762000</xdr:colOff>
      <xdr:row>1</xdr:row>
      <xdr:rowOff>9525</xdr:rowOff>
    </xdr:from>
    <xdr:to>
      <xdr:col>50</xdr:col>
      <xdr:colOff>190500</xdr:colOff>
      <xdr:row>6</xdr:row>
      <xdr:rowOff>76200</xdr:rowOff>
    </xdr:to>
    <xdr:pic>
      <xdr:nvPicPr>
        <xdr:cNvPr id="3" name="3 Imagen" descr="SIG.jpg"/>
        <xdr:cNvPicPr preferRelativeResize="1">
          <a:picLocks noChangeAspect="1"/>
        </xdr:cNvPicPr>
      </xdr:nvPicPr>
      <xdr:blipFill>
        <a:blip r:embed="rId1"/>
        <a:stretch>
          <a:fillRect/>
        </a:stretch>
      </xdr:blipFill>
      <xdr:spPr>
        <a:xfrm>
          <a:off x="52092225" y="190500"/>
          <a:ext cx="952500" cy="1019175"/>
        </a:xfrm>
        <a:prstGeom prst="rect">
          <a:avLst/>
        </a:prstGeom>
        <a:noFill/>
        <a:ln w="9525" cmpd="sng">
          <a:noFill/>
        </a:ln>
      </xdr:spPr>
    </xdr:pic>
    <xdr:clientData/>
  </xdr:twoCellAnchor>
  <xdr:twoCellAnchor editAs="oneCell">
    <xdr:from>
      <xdr:col>15</xdr:col>
      <xdr:colOff>495300</xdr:colOff>
      <xdr:row>1</xdr:row>
      <xdr:rowOff>180975</xdr:rowOff>
    </xdr:from>
    <xdr:to>
      <xdr:col>15</xdr:col>
      <xdr:colOff>1419225</xdr:colOff>
      <xdr:row>7</xdr:row>
      <xdr:rowOff>19050</xdr:rowOff>
    </xdr:to>
    <xdr:pic>
      <xdr:nvPicPr>
        <xdr:cNvPr id="4" name="12 Imagen" descr="Escudo Bogotá_sds_color.jpg"/>
        <xdr:cNvPicPr preferRelativeResize="1">
          <a:picLocks noChangeAspect="1"/>
        </xdr:cNvPicPr>
      </xdr:nvPicPr>
      <xdr:blipFill>
        <a:blip r:embed="rId2"/>
        <a:stretch>
          <a:fillRect/>
        </a:stretch>
      </xdr:blipFill>
      <xdr:spPr>
        <a:xfrm>
          <a:off x="14697075" y="361950"/>
          <a:ext cx="923925" cy="9810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6</xdr:row>
      <xdr:rowOff>95250</xdr:rowOff>
    </xdr:to>
    <xdr:pic>
      <xdr:nvPicPr>
        <xdr:cNvPr id="5" name="3 Imagen" descr="SIG.jpg"/>
        <xdr:cNvPicPr preferRelativeResize="1">
          <a:picLocks noChangeAspect="1"/>
        </xdr:cNvPicPr>
      </xdr:nvPicPr>
      <xdr:blipFill>
        <a:blip r:embed="rId1"/>
        <a:stretch>
          <a:fillRect/>
        </a:stretch>
      </xdr:blipFill>
      <xdr:spPr>
        <a:xfrm>
          <a:off x="37099875" y="476250"/>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6</xdr:row>
      <xdr:rowOff>104775</xdr:rowOff>
    </xdr:to>
    <xdr:pic>
      <xdr:nvPicPr>
        <xdr:cNvPr id="6" name="15 Imagen" descr="Escudo Bogotá_sds_color.jpg"/>
        <xdr:cNvPicPr preferRelativeResize="1">
          <a:picLocks noChangeAspect="1"/>
        </xdr:cNvPicPr>
      </xdr:nvPicPr>
      <xdr:blipFill>
        <a:blip r:embed="rId2"/>
        <a:stretch>
          <a:fillRect/>
        </a:stretch>
      </xdr:blipFill>
      <xdr:spPr>
        <a:xfrm>
          <a:off x="39166800" y="257175"/>
          <a:ext cx="94297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3\SEGUIMIENTO%20OCTUBRE%202013\Seguimiento%20872%20octubre%202013%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LIO%202015\Seguimiento%20872%20Julio%202015%20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ANDRA%20JANETH\SEGUIMIENTO%20PROYECTOS%202013\SEGUIMIENTO%20DICIEMBRE%20DE%202013\Seguimiento%20872%20diciembre%202013%20O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ANDRA%20JANETH\SEGUIMIENTO%20PROYECTOS%202013\SEGUIMIENTO%20DICIEMBRE%20DE%202013\Seguimiento%20879%20Diciembre%202013%20O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LIO%202015\Seguimiento%20879%20julio%202015%20O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LIO%202015\Seguimiento%20886%20julio%202015%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99-METROPOLITANO"/>
      <sheetName val="Hoja1"/>
      <sheetName val="Hoja2"/>
    </sheetNames>
    <sheetDataSet>
      <sheetData sheetId="0">
        <row r="19">
          <cell r="S19">
            <v>1003271320</v>
          </cell>
          <cell r="T19">
            <v>259357234</v>
          </cell>
          <cell r="U19">
            <v>150149432</v>
          </cell>
          <cell r="V19">
            <v>150149432</v>
          </cell>
        </row>
        <row r="35">
          <cell r="S35">
            <v>1003271320</v>
          </cell>
          <cell r="T35">
            <v>259357234</v>
          </cell>
          <cell r="U35">
            <v>150149432</v>
          </cell>
          <cell r="V35">
            <v>150149432</v>
          </cell>
        </row>
        <row r="36">
          <cell r="S36">
            <v>1003271320</v>
          </cell>
          <cell r="T36">
            <v>259357234</v>
          </cell>
          <cell r="U36">
            <v>150149432</v>
          </cell>
          <cell r="V36">
            <v>150149432</v>
          </cell>
        </row>
        <row r="37">
          <cell r="S37">
            <v>0</v>
          </cell>
          <cell r="T37">
            <v>0</v>
          </cell>
          <cell r="U37">
            <v>0</v>
          </cell>
          <cell r="V3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30">
          <cell r="N30">
            <v>1000407000</v>
          </cell>
          <cell r="O30">
            <v>965391000</v>
          </cell>
          <cell r="P30">
            <v>710008000</v>
          </cell>
          <cell r="Q30">
            <v>187928713.6666667</v>
          </cell>
          <cell r="R30">
            <v>106777267</v>
          </cell>
          <cell r="S30">
            <v>86360767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as"/>
      <sheetName val="Actividades"/>
      <sheetName val="99-METROPOLITANO"/>
      <sheetName val="Hoja1"/>
    </sheetNames>
    <sheetDataSet>
      <sheetData sheetId="1">
        <row r="15">
          <cell r="O15">
            <v>58031000</v>
          </cell>
          <cell r="P15">
            <v>43759400</v>
          </cell>
          <cell r="Q15">
            <v>15118667</v>
          </cell>
          <cell r="R15">
            <v>15118667</v>
          </cell>
        </row>
        <row r="16">
          <cell r="O16">
            <v>601007320</v>
          </cell>
          <cell r="P16">
            <v>230853854</v>
          </cell>
          <cell r="Q16">
            <v>79832099</v>
          </cell>
          <cell r="R16">
            <v>79832099</v>
          </cell>
        </row>
        <row r="17">
          <cell r="O17">
            <v>449912000</v>
          </cell>
          <cell r="P17">
            <v>185010200</v>
          </cell>
          <cell r="Q17">
            <v>55198666</v>
          </cell>
          <cell r="R17">
            <v>55198666</v>
          </cell>
        </row>
        <row r="18">
          <cell r="O18">
            <v>1108950320</v>
          </cell>
          <cell r="P18">
            <v>459623454</v>
          </cell>
          <cell r="Q18">
            <v>150149432</v>
          </cell>
          <cell r="R18">
            <v>150149432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0">
        <row r="16">
          <cell r="S16">
            <v>0</v>
          </cell>
          <cell r="T16">
            <v>0</v>
          </cell>
          <cell r="U16">
            <v>0</v>
          </cell>
          <cell r="V16">
            <v>0</v>
          </cell>
        </row>
        <row r="32">
          <cell r="S32">
            <v>72328320</v>
          </cell>
          <cell r="T32">
            <v>56255360</v>
          </cell>
          <cell r="U32">
            <v>35663620</v>
          </cell>
          <cell r="V32">
            <v>33846480</v>
          </cell>
        </row>
        <row r="48">
          <cell r="S48">
            <v>0</v>
          </cell>
          <cell r="T48">
            <v>0</v>
          </cell>
          <cell r="U48">
            <v>0</v>
          </cell>
          <cell r="V48">
            <v>0</v>
          </cell>
        </row>
        <row r="64">
          <cell r="S64">
            <v>72328320</v>
          </cell>
          <cell r="T64">
            <v>56255360</v>
          </cell>
          <cell r="U64">
            <v>35663620</v>
          </cell>
          <cell r="V64">
            <v>33846480</v>
          </cell>
        </row>
        <row r="65">
          <cell r="S65">
            <v>72328320</v>
          </cell>
          <cell r="T65">
            <v>56255360</v>
          </cell>
          <cell r="U65">
            <v>35663620</v>
          </cell>
          <cell r="V65">
            <v>33846480</v>
          </cell>
        </row>
        <row r="66">
          <cell r="S66">
            <v>0</v>
          </cell>
          <cell r="T66">
            <v>0</v>
          </cell>
          <cell r="U66">
            <v>0</v>
          </cell>
          <cell r="V66">
            <v>0</v>
          </cell>
        </row>
      </sheetData>
      <sheetData sheetId="1">
        <row r="14">
          <cell r="O14">
            <v>0</v>
          </cell>
          <cell r="P14">
            <v>0</v>
          </cell>
          <cell r="Q14">
            <v>0</v>
          </cell>
          <cell r="R14">
            <v>0</v>
          </cell>
        </row>
        <row r="15">
          <cell r="O15">
            <v>72328320</v>
          </cell>
          <cell r="P15">
            <v>56255360</v>
          </cell>
          <cell r="Q15">
            <v>35663620</v>
          </cell>
          <cell r="R15">
            <v>33846480</v>
          </cell>
        </row>
        <row r="16">
          <cell r="O16">
            <v>72328320</v>
          </cell>
          <cell r="P16">
            <v>56255360</v>
          </cell>
          <cell r="Q16">
            <v>35663620</v>
          </cell>
          <cell r="R16">
            <v>33846480</v>
          </cell>
        </row>
        <row r="18">
          <cell r="O18">
            <v>0</v>
          </cell>
          <cell r="P18">
            <v>0</v>
          </cell>
          <cell r="Q18">
            <v>0</v>
          </cell>
          <cell r="R18">
            <v>0</v>
          </cell>
        </row>
        <row r="19">
          <cell r="O19">
            <v>72328320</v>
          </cell>
          <cell r="P19">
            <v>56255360</v>
          </cell>
          <cell r="Q19">
            <v>35663620</v>
          </cell>
          <cell r="R19">
            <v>33846480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30">
          <cell r="N30">
            <v>87550000</v>
          </cell>
          <cell r="O30">
            <v>87550000</v>
          </cell>
          <cell r="P30">
            <v>87336400</v>
          </cell>
          <cell r="Q30">
            <v>32314468</v>
          </cell>
          <cell r="R30">
            <v>29252300</v>
          </cell>
          <cell r="S30">
            <v>29252300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14">
          <cell r="N14">
            <v>524017000</v>
          </cell>
          <cell r="O14">
            <v>474902500</v>
          </cell>
          <cell r="P14">
            <v>55848000</v>
          </cell>
          <cell r="Q14">
            <v>14582533</v>
          </cell>
          <cell r="R14">
            <v>27322533</v>
          </cell>
          <cell r="S14">
            <v>27322533</v>
          </cell>
        </row>
        <row r="30">
          <cell r="N30">
            <v>870480000</v>
          </cell>
          <cell r="O30">
            <v>778846000</v>
          </cell>
          <cell r="P30">
            <v>501629120</v>
          </cell>
          <cell r="Q30">
            <v>64065253</v>
          </cell>
          <cell r="R30">
            <v>161776134</v>
          </cell>
          <cell r="S30">
            <v>149243367</v>
          </cell>
        </row>
        <row r="46">
          <cell r="N46">
            <v>2548412860</v>
          </cell>
          <cell r="O46">
            <v>3042983800</v>
          </cell>
          <cell r="P46">
            <v>2544649720</v>
          </cell>
          <cell r="Q46">
            <v>564731007</v>
          </cell>
          <cell r="R46">
            <v>236973479</v>
          </cell>
          <cell r="S46">
            <v>197460419</v>
          </cell>
        </row>
        <row r="62">
          <cell r="N62">
            <v>3228600140</v>
          </cell>
          <cell r="O62">
            <v>2857131700</v>
          </cell>
          <cell r="P62">
            <v>2668220080</v>
          </cell>
          <cell r="Q62">
            <v>682306933</v>
          </cell>
          <cell r="R62">
            <v>720915224</v>
          </cell>
          <cell r="S62">
            <v>613483442</v>
          </cell>
        </row>
        <row r="78">
          <cell r="N78">
            <v>0</v>
          </cell>
          <cell r="O78">
            <v>0</v>
          </cell>
          <cell r="P78">
            <v>0</v>
          </cell>
          <cell r="Q78">
            <v>0</v>
          </cell>
          <cell r="R78">
            <v>3555200</v>
          </cell>
          <cell r="S78">
            <v>3555200</v>
          </cell>
        </row>
        <row r="94">
          <cell r="N94">
            <v>274847000</v>
          </cell>
          <cell r="O94">
            <v>245368000</v>
          </cell>
          <cell r="P94">
            <v>153941000</v>
          </cell>
          <cell r="Q94">
            <v>44125933</v>
          </cell>
          <cell r="R94">
            <v>34710467</v>
          </cell>
          <cell r="S94">
            <v>34710467</v>
          </cell>
        </row>
        <row r="110">
          <cell r="N110">
            <v>448463000</v>
          </cell>
          <cell r="O110">
            <v>495588000</v>
          </cell>
          <cell r="P110">
            <v>341362000</v>
          </cell>
          <cell r="Q110">
            <v>69031166</v>
          </cell>
          <cell r="R110">
            <v>62680400</v>
          </cell>
          <cell r="S110">
            <v>55305500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rgb="FFFF0000"/>
  </sheetPr>
  <dimension ref="A1:BW404"/>
  <sheetViews>
    <sheetView showGridLines="0" zoomScale="110" zoomScaleNormal="110" zoomScalePageLayoutView="0" workbookViewId="0" topLeftCell="H10">
      <selection activeCell="F48" sqref="F48"/>
    </sheetView>
  </sheetViews>
  <sheetFormatPr defaultColWidth="11.421875" defaultRowHeight="14.25" customHeight="1"/>
  <cols>
    <col min="1" max="1" width="5.421875" style="5" hidden="1" customWidth="1"/>
    <col min="2" max="2" width="6.57421875" style="5" hidden="1" customWidth="1"/>
    <col min="3" max="3" width="7.00390625" style="5" hidden="1" customWidth="1"/>
    <col min="4" max="4" width="6.00390625" style="5" hidden="1" customWidth="1"/>
    <col min="5" max="5" width="6.8515625" style="5" hidden="1" customWidth="1"/>
    <col min="6" max="6" width="6.140625" style="5" hidden="1" customWidth="1"/>
    <col min="7" max="7" width="7.00390625" style="5" hidden="1" customWidth="1"/>
    <col min="8" max="8" width="9.28125" style="6" customWidth="1"/>
    <col min="9" max="9" width="40.7109375" style="6" customWidth="1"/>
    <col min="10" max="10" width="3.57421875" style="6" customWidth="1"/>
    <col min="11" max="11" width="2.7109375" style="6" customWidth="1"/>
    <col min="12" max="12" width="2.28125" style="6" customWidth="1"/>
    <col min="13" max="13" width="4.00390625" style="6" customWidth="1"/>
    <col min="14" max="14" width="17.140625" style="6" customWidth="1"/>
    <col min="15" max="15" width="8.8515625" style="6" customWidth="1"/>
    <col min="16" max="16" width="7.421875" style="6" customWidth="1"/>
    <col min="17" max="17" width="18.421875" style="5" customWidth="1"/>
    <col min="18" max="18" width="16.7109375" style="5" customWidth="1"/>
    <col min="19" max="19" width="18.7109375" style="5" customWidth="1"/>
    <col min="20" max="20" width="19.7109375" style="5" customWidth="1"/>
    <col min="21" max="22" width="16.8515625" style="5" customWidth="1"/>
    <col min="23" max="23" width="32.57421875" style="5" customWidth="1"/>
    <col min="24" max="24" width="29.421875" style="5" customWidth="1"/>
    <col min="25" max="25" width="28.28125" style="5" customWidth="1"/>
    <col min="26" max="26" width="24.8515625" style="5" customWidth="1"/>
    <col min="27" max="27" width="50.7109375" style="5" customWidth="1"/>
    <col min="28" max="28" width="35.28125" style="5" customWidth="1"/>
    <col min="29" max="44" width="10.7109375" style="5" customWidth="1"/>
    <col min="45" max="48" width="11.421875" style="5" customWidth="1"/>
    <col min="49" max="50" width="14.8515625" style="5" customWidth="1"/>
    <col min="51" max="51" width="14.421875" style="5" customWidth="1"/>
    <col min="52" max="52" width="18.00390625" style="5" customWidth="1"/>
    <col min="53" max="54" width="14.00390625" style="5" customWidth="1"/>
    <col min="55" max="57" width="11.421875" style="5" customWidth="1"/>
    <col min="58" max="75" width="11.421875" style="6" customWidth="1"/>
    <col min="76" max="16384" width="11.421875" style="5" customWidth="1"/>
  </cols>
  <sheetData>
    <row r="1" spans="1:44" s="153" customFormat="1" ht="14.25" customHeight="1">
      <c r="A1" s="479"/>
      <c r="B1" s="480"/>
      <c r="C1" s="480"/>
      <c r="D1" s="481"/>
      <c r="E1" s="488" t="s">
        <v>274</v>
      </c>
      <c r="F1" s="489"/>
      <c r="G1" s="489"/>
      <c r="H1" s="489"/>
      <c r="I1" s="489"/>
      <c r="J1" s="489"/>
      <c r="K1" s="489"/>
      <c r="L1" s="489"/>
      <c r="M1" s="489"/>
      <c r="N1" s="490"/>
      <c r="O1" s="457" t="s">
        <v>160</v>
      </c>
      <c r="P1" s="458"/>
      <c r="Q1" s="458"/>
      <c r="R1" s="459"/>
      <c r="S1" s="466"/>
      <c r="T1" s="467"/>
      <c r="U1" s="467"/>
      <c r="V1" s="152"/>
      <c r="W1" s="466"/>
      <c r="X1" s="467"/>
      <c r="Y1" s="497"/>
      <c r="Z1" s="500" t="s">
        <v>275</v>
      </c>
      <c r="AA1" s="501"/>
      <c r="AB1" s="501"/>
      <c r="AC1" s="501"/>
      <c r="AD1" s="501"/>
      <c r="AE1" s="501"/>
      <c r="AF1" s="501"/>
      <c r="AG1" s="501"/>
      <c r="AH1" s="501"/>
      <c r="AI1" s="501"/>
      <c r="AJ1" s="502"/>
      <c r="AK1" s="457" t="s">
        <v>160</v>
      </c>
      <c r="AL1" s="458"/>
      <c r="AM1" s="458"/>
      <c r="AN1" s="459"/>
      <c r="AO1" s="466"/>
      <c r="AP1" s="467"/>
      <c r="AQ1" s="467"/>
      <c r="AR1" s="152"/>
    </row>
    <row r="2" spans="1:44" s="153" customFormat="1" ht="14.25" customHeight="1">
      <c r="A2" s="482"/>
      <c r="B2" s="483"/>
      <c r="C2" s="483"/>
      <c r="D2" s="484"/>
      <c r="E2" s="491"/>
      <c r="F2" s="492"/>
      <c r="G2" s="492"/>
      <c r="H2" s="492"/>
      <c r="I2" s="492"/>
      <c r="J2" s="492"/>
      <c r="K2" s="492"/>
      <c r="L2" s="492"/>
      <c r="M2" s="492"/>
      <c r="N2" s="493"/>
      <c r="O2" s="460"/>
      <c r="P2" s="461"/>
      <c r="Q2" s="461"/>
      <c r="R2" s="462"/>
      <c r="S2" s="468"/>
      <c r="T2" s="469"/>
      <c r="U2" s="469"/>
      <c r="V2" s="154"/>
      <c r="W2" s="468"/>
      <c r="X2" s="469"/>
      <c r="Y2" s="498"/>
      <c r="Z2" s="503"/>
      <c r="AA2" s="504"/>
      <c r="AB2" s="504"/>
      <c r="AC2" s="504"/>
      <c r="AD2" s="504"/>
      <c r="AE2" s="504"/>
      <c r="AF2" s="504"/>
      <c r="AG2" s="504"/>
      <c r="AH2" s="504"/>
      <c r="AI2" s="504"/>
      <c r="AJ2" s="505"/>
      <c r="AK2" s="460"/>
      <c r="AL2" s="461"/>
      <c r="AM2" s="461"/>
      <c r="AN2" s="462"/>
      <c r="AO2" s="468"/>
      <c r="AP2" s="469"/>
      <c r="AQ2" s="469"/>
      <c r="AR2" s="154"/>
    </row>
    <row r="3" spans="1:44" s="153" customFormat="1" ht="14.25" customHeight="1">
      <c r="A3" s="482"/>
      <c r="B3" s="483"/>
      <c r="C3" s="483"/>
      <c r="D3" s="484"/>
      <c r="E3" s="491"/>
      <c r="F3" s="492"/>
      <c r="G3" s="492"/>
      <c r="H3" s="492"/>
      <c r="I3" s="492"/>
      <c r="J3" s="492"/>
      <c r="K3" s="492"/>
      <c r="L3" s="492"/>
      <c r="M3" s="492"/>
      <c r="N3" s="493"/>
      <c r="O3" s="460"/>
      <c r="P3" s="461"/>
      <c r="Q3" s="461"/>
      <c r="R3" s="462"/>
      <c r="S3" s="468"/>
      <c r="T3" s="469"/>
      <c r="U3" s="469"/>
      <c r="V3" s="154"/>
      <c r="W3" s="468"/>
      <c r="X3" s="469"/>
      <c r="Y3" s="498"/>
      <c r="Z3" s="503"/>
      <c r="AA3" s="504"/>
      <c r="AB3" s="504"/>
      <c r="AC3" s="504"/>
      <c r="AD3" s="504"/>
      <c r="AE3" s="504"/>
      <c r="AF3" s="504"/>
      <c r="AG3" s="504"/>
      <c r="AH3" s="504"/>
      <c r="AI3" s="504"/>
      <c r="AJ3" s="505"/>
      <c r="AK3" s="460"/>
      <c r="AL3" s="461"/>
      <c r="AM3" s="461"/>
      <c r="AN3" s="462"/>
      <c r="AO3" s="468"/>
      <c r="AP3" s="469"/>
      <c r="AQ3" s="469"/>
      <c r="AR3" s="154"/>
    </row>
    <row r="4" spans="1:44" s="153" customFormat="1" ht="14.25" customHeight="1">
      <c r="A4" s="482"/>
      <c r="B4" s="483"/>
      <c r="C4" s="483"/>
      <c r="D4" s="484"/>
      <c r="E4" s="491"/>
      <c r="F4" s="492"/>
      <c r="G4" s="492"/>
      <c r="H4" s="492"/>
      <c r="I4" s="492"/>
      <c r="J4" s="492"/>
      <c r="K4" s="492"/>
      <c r="L4" s="492"/>
      <c r="M4" s="492"/>
      <c r="N4" s="493"/>
      <c r="O4" s="460"/>
      <c r="P4" s="461"/>
      <c r="Q4" s="461"/>
      <c r="R4" s="462"/>
      <c r="S4" s="468"/>
      <c r="T4" s="469"/>
      <c r="U4" s="469"/>
      <c r="V4" s="154"/>
      <c r="W4" s="468"/>
      <c r="X4" s="469"/>
      <c r="Y4" s="498"/>
      <c r="Z4" s="503"/>
      <c r="AA4" s="504"/>
      <c r="AB4" s="504"/>
      <c r="AC4" s="504"/>
      <c r="AD4" s="504"/>
      <c r="AE4" s="504"/>
      <c r="AF4" s="504"/>
      <c r="AG4" s="504"/>
      <c r="AH4" s="504"/>
      <c r="AI4" s="504"/>
      <c r="AJ4" s="505"/>
      <c r="AK4" s="460"/>
      <c r="AL4" s="461"/>
      <c r="AM4" s="461"/>
      <c r="AN4" s="462"/>
      <c r="AO4" s="468"/>
      <c r="AP4" s="469"/>
      <c r="AQ4" s="469"/>
      <c r="AR4" s="154"/>
    </row>
    <row r="5" spans="1:44" s="153" customFormat="1" ht="14.25" customHeight="1">
      <c r="A5" s="482"/>
      <c r="B5" s="483"/>
      <c r="C5" s="483"/>
      <c r="D5" s="484"/>
      <c r="E5" s="491"/>
      <c r="F5" s="492"/>
      <c r="G5" s="492"/>
      <c r="H5" s="492"/>
      <c r="I5" s="492"/>
      <c r="J5" s="492"/>
      <c r="K5" s="492"/>
      <c r="L5" s="492"/>
      <c r="M5" s="492"/>
      <c r="N5" s="493"/>
      <c r="O5" s="460"/>
      <c r="P5" s="461"/>
      <c r="Q5" s="461"/>
      <c r="R5" s="462"/>
      <c r="S5" s="468"/>
      <c r="T5" s="469"/>
      <c r="U5" s="469"/>
      <c r="V5" s="154"/>
      <c r="W5" s="468"/>
      <c r="X5" s="469"/>
      <c r="Y5" s="498"/>
      <c r="Z5" s="503"/>
      <c r="AA5" s="504"/>
      <c r="AB5" s="504"/>
      <c r="AC5" s="504"/>
      <c r="AD5" s="504"/>
      <c r="AE5" s="504"/>
      <c r="AF5" s="504"/>
      <c r="AG5" s="504"/>
      <c r="AH5" s="504"/>
      <c r="AI5" s="504"/>
      <c r="AJ5" s="505"/>
      <c r="AK5" s="460"/>
      <c r="AL5" s="461"/>
      <c r="AM5" s="461"/>
      <c r="AN5" s="462"/>
      <c r="AO5" s="468"/>
      <c r="AP5" s="469"/>
      <c r="AQ5" s="469"/>
      <c r="AR5" s="154"/>
    </row>
    <row r="6" spans="1:44" s="153" customFormat="1" ht="14.25" customHeight="1">
      <c r="A6" s="482"/>
      <c r="B6" s="483"/>
      <c r="C6" s="483"/>
      <c r="D6" s="484"/>
      <c r="E6" s="491"/>
      <c r="F6" s="492"/>
      <c r="G6" s="492"/>
      <c r="H6" s="492"/>
      <c r="I6" s="492"/>
      <c r="J6" s="492"/>
      <c r="K6" s="492"/>
      <c r="L6" s="492"/>
      <c r="M6" s="492"/>
      <c r="N6" s="493"/>
      <c r="O6" s="460"/>
      <c r="P6" s="461"/>
      <c r="Q6" s="461"/>
      <c r="R6" s="462"/>
      <c r="S6" s="468"/>
      <c r="T6" s="469"/>
      <c r="U6" s="469"/>
      <c r="V6" s="154"/>
      <c r="W6" s="468"/>
      <c r="X6" s="469"/>
      <c r="Y6" s="498"/>
      <c r="Z6" s="503"/>
      <c r="AA6" s="504"/>
      <c r="AB6" s="504"/>
      <c r="AC6" s="504"/>
      <c r="AD6" s="504"/>
      <c r="AE6" s="504"/>
      <c r="AF6" s="504"/>
      <c r="AG6" s="504"/>
      <c r="AH6" s="504"/>
      <c r="AI6" s="504"/>
      <c r="AJ6" s="505"/>
      <c r="AK6" s="460"/>
      <c r="AL6" s="461"/>
      <c r="AM6" s="461"/>
      <c r="AN6" s="462"/>
      <c r="AO6" s="468"/>
      <c r="AP6" s="469"/>
      <c r="AQ6" s="469"/>
      <c r="AR6" s="154"/>
    </row>
    <row r="7" spans="1:44" s="153" customFormat="1" ht="14.25" customHeight="1">
      <c r="A7" s="482"/>
      <c r="B7" s="483"/>
      <c r="C7" s="483"/>
      <c r="D7" s="484"/>
      <c r="E7" s="491"/>
      <c r="F7" s="492"/>
      <c r="G7" s="492"/>
      <c r="H7" s="492"/>
      <c r="I7" s="492"/>
      <c r="J7" s="492"/>
      <c r="K7" s="492"/>
      <c r="L7" s="492"/>
      <c r="M7" s="492"/>
      <c r="N7" s="493"/>
      <c r="O7" s="460"/>
      <c r="P7" s="461"/>
      <c r="Q7" s="461"/>
      <c r="R7" s="462"/>
      <c r="S7" s="468"/>
      <c r="T7" s="469"/>
      <c r="U7" s="469"/>
      <c r="V7" s="154"/>
      <c r="W7" s="468"/>
      <c r="X7" s="469"/>
      <c r="Y7" s="498"/>
      <c r="Z7" s="503"/>
      <c r="AA7" s="504"/>
      <c r="AB7" s="504"/>
      <c r="AC7" s="504"/>
      <c r="AD7" s="504"/>
      <c r="AE7" s="504"/>
      <c r="AF7" s="504"/>
      <c r="AG7" s="504"/>
      <c r="AH7" s="504"/>
      <c r="AI7" s="504"/>
      <c r="AJ7" s="505"/>
      <c r="AK7" s="460"/>
      <c r="AL7" s="461"/>
      <c r="AM7" s="461"/>
      <c r="AN7" s="462"/>
      <c r="AO7" s="468"/>
      <c r="AP7" s="469"/>
      <c r="AQ7" s="469"/>
      <c r="AR7" s="154"/>
    </row>
    <row r="8" spans="1:44" s="153" customFormat="1" ht="14.25" customHeight="1" thickBot="1">
      <c r="A8" s="485"/>
      <c r="B8" s="486"/>
      <c r="C8" s="486"/>
      <c r="D8" s="487"/>
      <c r="E8" s="494"/>
      <c r="F8" s="495"/>
      <c r="G8" s="495"/>
      <c r="H8" s="495"/>
      <c r="I8" s="495"/>
      <c r="J8" s="495"/>
      <c r="K8" s="495"/>
      <c r="L8" s="495"/>
      <c r="M8" s="495"/>
      <c r="N8" s="496"/>
      <c r="O8" s="463"/>
      <c r="P8" s="464"/>
      <c r="Q8" s="464"/>
      <c r="R8" s="465"/>
      <c r="S8" s="470"/>
      <c r="T8" s="471"/>
      <c r="U8" s="471"/>
      <c r="V8" s="155"/>
      <c r="W8" s="470"/>
      <c r="X8" s="471"/>
      <c r="Y8" s="499"/>
      <c r="Z8" s="506"/>
      <c r="AA8" s="507"/>
      <c r="AB8" s="507"/>
      <c r="AC8" s="507"/>
      <c r="AD8" s="507"/>
      <c r="AE8" s="507"/>
      <c r="AF8" s="507"/>
      <c r="AG8" s="507"/>
      <c r="AH8" s="507"/>
      <c r="AI8" s="507"/>
      <c r="AJ8" s="508"/>
      <c r="AK8" s="463"/>
      <c r="AL8" s="464"/>
      <c r="AM8" s="464"/>
      <c r="AN8" s="465"/>
      <c r="AO8" s="470"/>
      <c r="AP8" s="471"/>
      <c r="AQ8" s="471"/>
      <c r="AR8" s="155"/>
    </row>
    <row r="10" spans="9:10" ht="14.25" customHeight="1">
      <c r="I10" s="248" t="s">
        <v>276</v>
      </c>
      <c r="J10" s="248"/>
    </row>
    <row r="11" spans="9:10" ht="14.25" customHeight="1">
      <c r="I11" s="248" t="s">
        <v>277</v>
      </c>
      <c r="J11" s="248"/>
    </row>
    <row r="12" spans="9:10" ht="14.25" customHeight="1">
      <c r="I12" s="248" t="s">
        <v>278</v>
      </c>
      <c r="J12" s="248"/>
    </row>
    <row r="13" spans="9:10" ht="14.25" customHeight="1">
      <c r="I13" s="248" t="s">
        <v>279</v>
      </c>
      <c r="J13" s="248"/>
    </row>
    <row r="14" spans="7:54" ht="14.25" customHeight="1">
      <c r="G14" s="472" t="s">
        <v>166</v>
      </c>
      <c r="H14" s="474" t="s">
        <v>167</v>
      </c>
      <c r="I14" s="474" t="s">
        <v>9</v>
      </c>
      <c r="J14" s="475" t="s">
        <v>168</v>
      </c>
      <c r="K14" s="476"/>
      <c r="L14" s="477"/>
      <c r="M14" s="151"/>
      <c r="N14" s="151"/>
      <c r="O14" s="478" t="s">
        <v>0</v>
      </c>
      <c r="P14" s="478"/>
      <c r="Q14" s="478" t="s">
        <v>280</v>
      </c>
      <c r="R14" s="478"/>
      <c r="S14" s="478" t="s">
        <v>171</v>
      </c>
      <c r="T14" s="478"/>
      <c r="U14" s="478" t="s">
        <v>172</v>
      </c>
      <c r="V14" s="478"/>
      <c r="W14" s="455" t="s">
        <v>173</v>
      </c>
      <c r="X14" s="455" t="s">
        <v>174</v>
      </c>
      <c r="Y14" s="455" t="s">
        <v>175</v>
      </c>
      <c r="Z14" s="455" t="s">
        <v>281</v>
      </c>
      <c r="AA14" s="455" t="s">
        <v>2</v>
      </c>
      <c r="AB14" s="455" t="s">
        <v>282</v>
      </c>
      <c r="AC14" s="455" t="s">
        <v>178</v>
      </c>
      <c r="AD14" s="455"/>
      <c r="AE14" s="455" t="s">
        <v>179</v>
      </c>
      <c r="AF14" s="455"/>
      <c r="AG14" s="455" t="s">
        <v>180</v>
      </c>
      <c r="AH14" s="455"/>
      <c r="AI14" s="455" t="s">
        <v>181</v>
      </c>
      <c r="AJ14" s="455"/>
      <c r="AK14" s="455" t="s">
        <v>182</v>
      </c>
      <c r="AL14" s="455"/>
      <c r="AM14" s="455" t="s">
        <v>183</v>
      </c>
      <c r="AN14" s="455"/>
      <c r="AO14" s="455" t="s">
        <v>184</v>
      </c>
      <c r="AP14" s="455"/>
      <c r="AQ14" s="455" t="s">
        <v>185</v>
      </c>
      <c r="AR14" s="455"/>
      <c r="AW14" s="456" t="s">
        <v>280</v>
      </c>
      <c r="AX14" s="456"/>
      <c r="AY14" s="456" t="s">
        <v>171</v>
      </c>
      <c r="AZ14" s="456"/>
      <c r="BA14" s="456" t="s">
        <v>172</v>
      </c>
      <c r="BB14" s="456"/>
    </row>
    <row r="15" spans="1:54" ht="46.5" customHeight="1" thickBot="1">
      <c r="A15" s="1" t="s">
        <v>186</v>
      </c>
      <c r="B15" s="1" t="s">
        <v>167</v>
      </c>
      <c r="C15" s="1" t="s">
        <v>187</v>
      </c>
      <c r="D15" s="1" t="s">
        <v>188</v>
      </c>
      <c r="E15" s="1" t="s">
        <v>189</v>
      </c>
      <c r="F15" s="1" t="s">
        <v>190</v>
      </c>
      <c r="G15" s="473"/>
      <c r="H15" s="474"/>
      <c r="I15" s="474"/>
      <c r="J15" s="4" t="s">
        <v>4</v>
      </c>
      <c r="K15" s="4" t="s">
        <v>5</v>
      </c>
      <c r="L15" s="4" t="s">
        <v>6</v>
      </c>
      <c r="M15" s="4" t="s">
        <v>191</v>
      </c>
      <c r="N15" s="4" t="s">
        <v>7</v>
      </c>
      <c r="O15" s="3" t="s">
        <v>115</v>
      </c>
      <c r="P15" s="3" t="s">
        <v>192</v>
      </c>
      <c r="Q15" s="3" t="s">
        <v>193</v>
      </c>
      <c r="R15" s="3" t="s">
        <v>194</v>
      </c>
      <c r="S15" s="3" t="s">
        <v>195</v>
      </c>
      <c r="T15" s="3" t="s">
        <v>196</v>
      </c>
      <c r="U15" s="3" t="s">
        <v>197</v>
      </c>
      <c r="V15" s="3" t="s">
        <v>196</v>
      </c>
      <c r="W15" s="455"/>
      <c r="X15" s="455"/>
      <c r="Y15" s="455"/>
      <c r="Z15" s="455"/>
      <c r="AA15" s="455"/>
      <c r="AB15" s="455"/>
      <c r="AC15" s="3" t="s">
        <v>198</v>
      </c>
      <c r="AD15" s="3" t="s">
        <v>199</v>
      </c>
      <c r="AE15" s="3" t="s">
        <v>198</v>
      </c>
      <c r="AF15" s="3" t="s">
        <v>199</v>
      </c>
      <c r="AG15" s="3" t="s">
        <v>198</v>
      </c>
      <c r="AH15" s="3" t="s">
        <v>199</v>
      </c>
      <c r="AI15" s="3" t="s">
        <v>198</v>
      </c>
      <c r="AJ15" s="3" t="s">
        <v>199</v>
      </c>
      <c r="AK15" s="3" t="s">
        <v>198</v>
      </c>
      <c r="AL15" s="3" t="s">
        <v>199</v>
      </c>
      <c r="AM15" s="3" t="s">
        <v>198</v>
      </c>
      <c r="AN15" s="3" t="s">
        <v>199</v>
      </c>
      <c r="AO15" s="3" t="s">
        <v>198</v>
      </c>
      <c r="AP15" s="3" t="s">
        <v>199</v>
      </c>
      <c r="AQ15" s="3" t="s">
        <v>198</v>
      </c>
      <c r="AR15" s="3" t="s">
        <v>199</v>
      </c>
      <c r="AW15" s="250" t="s">
        <v>193</v>
      </c>
      <c r="AX15" s="250" t="s">
        <v>194</v>
      </c>
      <c r="AY15" s="250" t="s">
        <v>195</v>
      </c>
      <c r="AZ15" s="250" t="s">
        <v>196</v>
      </c>
      <c r="BA15" s="250" t="s">
        <v>197</v>
      </c>
      <c r="BB15" s="250" t="s">
        <v>196</v>
      </c>
    </row>
    <row r="16" spans="1:75" s="320" customFormat="1" ht="14.25" customHeight="1">
      <c r="A16" s="312" t="s">
        <v>200</v>
      </c>
      <c r="B16" s="312" t="s">
        <v>201</v>
      </c>
      <c r="C16" s="312" t="s">
        <v>202</v>
      </c>
      <c r="D16" s="312" t="s">
        <v>203</v>
      </c>
      <c r="E16" s="312" t="s">
        <v>204</v>
      </c>
      <c r="F16" s="312" t="s">
        <v>204</v>
      </c>
      <c r="G16" s="313">
        <v>11</v>
      </c>
      <c r="H16" s="393">
        <v>886</v>
      </c>
      <c r="I16" s="439" t="s">
        <v>45</v>
      </c>
      <c r="J16" s="414"/>
      <c r="K16" s="399" t="s">
        <v>26</v>
      </c>
      <c r="L16" s="399"/>
      <c r="M16" s="442"/>
      <c r="N16" s="439" t="s">
        <v>283</v>
      </c>
      <c r="O16" s="402">
        <v>0.27</v>
      </c>
      <c r="P16" s="402">
        <f>+O16/12*7</f>
        <v>0.15750000000000003</v>
      </c>
      <c r="Q16" s="389">
        <f>SUMIF('Actividades inversión 886'!$B$13:$B$35,'Metas inversión 886'!$B16,'Actividades inversión 886'!M$13:M$35)</f>
        <v>524017000</v>
      </c>
      <c r="R16" s="389">
        <f>SUMIF('Actividades inversión 886'!$B$13:$B$35,'Metas inversión 886'!$B16,'Actividades inversión 886'!N$13:N$35)</f>
        <v>474902500</v>
      </c>
      <c r="S16" s="389">
        <f>SUMIF('Actividades inversión 886'!$B$13:$B$35,'Metas inversión 886'!$B16,'Actividades inversión 886'!O$13:O$35)</f>
        <v>55848000</v>
      </c>
      <c r="T16" s="389">
        <f>SUMIF('Actividades inversión 886'!$B$13:$B$35,'Metas inversión 886'!$B16,'Actividades inversión 886'!P$13:P$35)</f>
        <v>14582533</v>
      </c>
      <c r="U16" s="389">
        <f>SUMIF('Actividades inversión 886'!$B$13:$B$35,'Metas inversión 886'!$B16,'Actividades inversión 886'!Q$13:Q$35)</f>
        <v>27322533</v>
      </c>
      <c r="V16" s="389">
        <f>SUMIF('Actividades inversión 886'!$B$13:$B$35,'Metas inversión 886'!$B16,'Actividades inversión 886'!R$13:R$35)</f>
        <v>27322533</v>
      </c>
      <c r="W16" s="408" t="s">
        <v>284</v>
      </c>
      <c r="X16" s="380" t="s">
        <v>285</v>
      </c>
      <c r="Y16" s="380" t="s">
        <v>286</v>
      </c>
      <c r="Z16" s="451"/>
      <c r="AA16" s="454"/>
      <c r="AB16" s="314" t="s">
        <v>287</v>
      </c>
      <c r="AC16" s="315"/>
      <c r="AD16" s="315"/>
      <c r="AE16" s="315"/>
      <c r="AF16" s="315"/>
      <c r="AG16" s="315"/>
      <c r="AH16" s="315"/>
      <c r="AI16" s="315"/>
      <c r="AJ16" s="315"/>
      <c r="AK16" s="315"/>
      <c r="AL16" s="315"/>
      <c r="AM16" s="315"/>
      <c r="AN16" s="315"/>
      <c r="AO16" s="315"/>
      <c r="AP16" s="315"/>
      <c r="AQ16" s="316">
        <f aca="true" t="shared" si="0" ref="AQ16:AR21">+AC16+AE16+AG16+AI16+AK16+AM16+AO16</f>
        <v>0</v>
      </c>
      <c r="AR16" s="317">
        <f t="shared" si="0"/>
        <v>0</v>
      </c>
      <c r="AS16" s="318"/>
      <c r="AT16" s="318"/>
      <c r="AU16" s="318"/>
      <c r="AV16" s="318"/>
      <c r="AW16" s="319">
        <f>+'[6]99-METROPOLITANO'!N14</f>
        <v>524017000</v>
      </c>
      <c r="AX16" s="319">
        <f>+'[6]99-METROPOLITANO'!O14</f>
        <v>474902500</v>
      </c>
      <c r="AY16" s="319">
        <f>+'[6]99-METROPOLITANO'!P14</f>
        <v>55848000</v>
      </c>
      <c r="AZ16" s="319">
        <f>+'[6]99-METROPOLITANO'!Q14</f>
        <v>14582533</v>
      </c>
      <c r="BA16" s="319">
        <f>+'[6]99-METROPOLITANO'!R14</f>
        <v>27322533</v>
      </c>
      <c r="BB16" s="319">
        <f>+'[6]99-METROPOLITANO'!S14</f>
        <v>27322533</v>
      </c>
      <c r="BF16" s="318"/>
      <c r="BG16" s="318"/>
      <c r="BH16" s="318"/>
      <c r="BI16" s="318"/>
      <c r="BJ16" s="318"/>
      <c r="BK16" s="318"/>
      <c r="BL16" s="318"/>
      <c r="BM16" s="318"/>
      <c r="BN16" s="318"/>
      <c r="BO16" s="318"/>
      <c r="BP16" s="318"/>
      <c r="BQ16" s="318"/>
      <c r="BR16" s="318"/>
      <c r="BS16" s="318"/>
      <c r="BT16" s="318"/>
      <c r="BU16" s="318"/>
      <c r="BV16" s="318"/>
      <c r="BW16" s="318"/>
    </row>
    <row r="17" spans="1:75" s="320" customFormat="1" ht="9.75" customHeight="1">
      <c r="A17" s="312"/>
      <c r="B17" s="312"/>
      <c r="C17" s="312"/>
      <c r="D17" s="312"/>
      <c r="E17" s="312"/>
      <c r="F17" s="312"/>
      <c r="G17" s="313"/>
      <c r="H17" s="394"/>
      <c r="I17" s="440"/>
      <c r="J17" s="400"/>
      <c r="K17" s="400"/>
      <c r="L17" s="400"/>
      <c r="M17" s="443"/>
      <c r="N17" s="440"/>
      <c r="O17" s="403"/>
      <c r="P17" s="403"/>
      <c r="Q17" s="390"/>
      <c r="R17" s="390"/>
      <c r="S17" s="390"/>
      <c r="T17" s="390"/>
      <c r="U17" s="390"/>
      <c r="V17" s="390"/>
      <c r="W17" s="381"/>
      <c r="X17" s="381"/>
      <c r="Y17" s="381"/>
      <c r="Z17" s="452"/>
      <c r="AA17" s="452"/>
      <c r="AB17" s="321" t="s">
        <v>213</v>
      </c>
      <c r="AC17" s="322"/>
      <c r="AD17" s="322"/>
      <c r="AE17" s="322"/>
      <c r="AF17" s="322"/>
      <c r="AG17" s="322"/>
      <c r="AH17" s="322"/>
      <c r="AI17" s="322"/>
      <c r="AJ17" s="322"/>
      <c r="AK17" s="322"/>
      <c r="AL17" s="322"/>
      <c r="AM17" s="322"/>
      <c r="AN17" s="322"/>
      <c r="AO17" s="322"/>
      <c r="AP17" s="322"/>
      <c r="AQ17" s="323">
        <f t="shared" si="0"/>
        <v>0</v>
      </c>
      <c r="AR17" s="324">
        <f t="shared" si="0"/>
        <v>0</v>
      </c>
      <c r="AS17" s="318"/>
      <c r="AT17" s="318"/>
      <c r="AU17" s="318"/>
      <c r="AV17" s="318"/>
      <c r="AW17" s="319"/>
      <c r="AX17" s="319"/>
      <c r="AY17" s="319"/>
      <c r="AZ17" s="319"/>
      <c r="BA17" s="319"/>
      <c r="BB17" s="319"/>
      <c r="BF17" s="318"/>
      <c r="BG17" s="318"/>
      <c r="BH17" s="318"/>
      <c r="BI17" s="318"/>
      <c r="BJ17" s="318"/>
      <c r="BK17" s="318"/>
      <c r="BL17" s="318"/>
      <c r="BM17" s="318"/>
      <c r="BN17" s="318"/>
      <c r="BO17" s="318"/>
      <c r="BP17" s="318"/>
      <c r="BQ17" s="318"/>
      <c r="BR17" s="318"/>
      <c r="BS17" s="318"/>
      <c r="BT17" s="318"/>
      <c r="BU17" s="318"/>
      <c r="BV17" s="318"/>
      <c r="BW17" s="318"/>
    </row>
    <row r="18" spans="1:75" s="320" customFormat="1" ht="11.25" customHeight="1">
      <c r="A18" s="312"/>
      <c r="B18" s="312"/>
      <c r="C18" s="312"/>
      <c r="D18" s="312"/>
      <c r="E18" s="312"/>
      <c r="F18" s="312"/>
      <c r="G18" s="313"/>
      <c r="H18" s="394"/>
      <c r="I18" s="440"/>
      <c r="J18" s="400"/>
      <c r="K18" s="400"/>
      <c r="L18" s="400"/>
      <c r="M18" s="443"/>
      <c r="N18" s="440"/>
      <c r="O18" s="403"/>
      <c r="P18" s="403"/>
      <c r="Q18" s="390"/>
      <c r="R18" s="390"/>
      <c r="S18" s="390"/>
      <c r="T18" s="390"/>
      <c r="U18" s="390"/>
      <c r="V18" s="390"/>
      <c r="W18" s="381"/>
      <c r="X18" s="381"/>
      <c r="Y18" s="381"/>
      <c r="Z18" s="452"/>
      <c r="AA18" s="452"/>
      <c r="AB18" s="321" t="s">
        <v>214</v>
      </c>
      <c r="AC18" s="322"/>
      <c r="AD18" s="322"/>
      <c r="AE18" s="322"/>
      <c r="AF18" s="322"/>
      <c r="AG18" s="322"/>
      <c r="AH18" s="322"/>
      <c r="AI18" s="322"/>
      <c r="AJ18" s="322"/>
      <c r="AK18" s="322"/>
      <c r="AL18" s="322"/>
      <c r="AM18" s="322"/>
      <c r="AN18" s="322"/>
      <c r="AO18" s="322"/>
      <c r="AP18" s="322"/>
      <c r="AQ18" s="323">
        <f t="shared" si="0"/>
        <v>0</v>
      </c>
      <c r="AR18" s="324">
        <f t="shared" si="0"/>
        <v>0</v>
      </c>
      <c r="AS18" s="318"/>
      <c r="AT18" s="318"/>
      <c r="AU18" s="318"/>
      <c r="AV18" s="318"/>
      <c r="AW18" s="319"/>
      <c r="AX18" s="319"/>
      <c r="AY18" s="319"/>
      <c r="AZ18" s="319"/>
      <c r="BA18" s="319"/>
      <c r="BB18" s="319"/>
      <c r="BF18" s="318"/>
      <c r="BG18" s="318"/>
      <c r="BH18" s="318"/>
      <c r="BI18" s="318"/>
      <c r="BJ18" s="318"/>
      <c r="BK18" s="318"/>
      <c r="BL18" s="318"/>
      <c r="BM18" s="318"/>
      <c r="BN18" s="318"/>
      <c r="BO18" s="318"/>
      <c r="BP18" s="318"/>
      <c r="BQ18" s="318"/>
      <c r="BR18" s="318"/>
      <c r="BS18" s="318"/>
      <c r="BT18" s="318"/>
      <c r="BU18" s="318"/>
      <c r="BV18" s="318"/>
      <c r="BW18" s="318"/>
    </row>
    <row r="19" spans="1:75" s="320" customFormat="1" ht="4.5" customHeight="1">
      <c r="A19" s="312"/>
      <c r="B19" s="312"/>
      <c r="C19" s="312"/>
      <c r="D19" s="312"/>
      <c r="E19" s="312"/>
      <c r="F19" s="312"/>
      <c r="G19" s="313"/>
      <c r="H19" s="394"/>
      <c r="I19" s="440"/>
      <c r="J19" s="400"/>
      <c r="K19" s="400"/>
      <c r="L19" s="400"/>
      <c r="M19" s="443"/>
      <c r="N19" s="440"/>
      <c r="O19" s="403"/>
      <c r="P19" s="403"/>
      <c r="Q19" s="390"/>
      <c r="R19" s="390"/>
      <c r="S19" s="390"/>
      <c r="T19" s="390"/>
      <c r="U19" s="390"/>
      <c r="V19" s="390"/>
      <c r="W19" s="381"/>
      <c r="X19" s="381"/>
      <c r="Y19" s="381"/>
      <c r="Z19" s="452"/>
      <c r="AA19" s="452"/>
      <c r="AB19" s="321" t="s">
        <v>215</v>
      </c>
      <c r="AC19" s="322"/>
      <c r="AD19" s="322"/>
      <c r="AE19" s="322"/>
      <c r="AF19" s="322"/>
      <c r="AG19" s="322"/>
      <c r="AH19" s="322"/>
      <c r="AI19" s="322"/>
      <c r="AJ19" s="322"/>
      <c r="AK19" s="322"/>
      <c r="AL19" s="322"/>
      <c r="AM19" s="322"/>
      <c r="AN19" s="322"/>
      <c r="AO19" s="322"/>
      <c r="AP19" s="322"/>
      <c r="AQ19" s="323">
        <f t="shared" si="0"/>
        <v>0</v>
      </c>
      <c r="AR19" s="324">
        <f t="shared" si="0"/>
        <v>0</v>
      </c>
      <c r="AS19" s="318"/>
      <c r="AT19" s="318"/>
      <c r="AU19" s="318"/>
      <c r="AV19" s="318"/>
      <c r="AW19" s="319"/>
      <c r="AX19" s="319"/>
      <c r="AY19" s="319"/>
      <c r="AZ19" s="319"/>
      <c r="BA19" s="319"/>
      <c r="BB19" s="319"/>
      <c r="BF19" s="318"/>
      <c r="BG19" s="318"/>
      <c r="BH19" s="318"/>
      <c r="BI19" s="318"/>
      <c r="BJ19" s="318"/>
      <c r="BK19" s="318"/>
      <c r="BL19" s="318"/>
      <c r="BM19" s="318"/>
      <c r="BN19" s="318"/>
      <c r="BO19" s="318"/>
      <c r="BP19" s="318"/>
      <c r="BQ19" s="318"/>
      <c r="BR19" s="318"/>
      <c r="BS19" s="318"/>
      <c r="BT19" s="318"/>
      <c r="BU19" s="318"/>
      <c r="BV19" s="318"/>
      <c r="BW19" s="318"/>
    </row>
    <row r="20" spans="1:75" s="320" customFormat="1" ht="1.5" customHeight="1">
      <c r="A20" s="312"/>
      <c r="B20" s="312"/>
      <c r="C20" s="312"/>
      <c r="D20" s="312"/>
      <c r="E20" s="312"/>
      <c r="F20" s="312"/>
      <c r="G20" s="313"/>
      <c r="H20" s="394"/>
      <c r="I20" s="440"/>
      <c r="J20" s="400"/>
      <c r="K20" s="400"/>
      <c r="L20" s="400"/>
      <c r="M20" s="443"/>
      <c r="N20" s="440"/>
      <c r="O20" s="403"/>
      <c r="P20" s="403"/>
      <c r="Q20" s="390"/>
      <c r="R20" s="390"/>
      <c r="S20" s="390"/>
      <c r="T20" s="390"/>
      <c r="U20" s="390"/>
      <c r="V20" s="390"/>
      <c r="W20" s="381"/>
      <c r="X20" s="381"/>
      <c r="Y20" s="381"/>
      <c r="Z20" s="452"/>
      <c r="AA20" s="452"/>
      <c r="AB20" s="321" t="s">
        <v>216</v>
      </c>
      <c r="AC20" s="322"/>
      <c r="AD20" s="322"/>
      <c r="AE20" s="322"/>
      <c r="AF20" s="322"/>
      <c r="AG20" s="322"/>
      <c r="AH20" s="322"/>
      <c r="AI20" s="322"/>
      <c r="AJ20" s="322"/>
      <c r="AK20" s="322"/>
      <c r="AL20" s="322"/>
      <c r="AM20" s="322"/>
      <c r="AN20" s="322"/>
      <c r="AO20" s="322"/>
      <c r="AP20" s="322"/>
      <c r="AQ20" s="323">
        <f t="shared" si="0"/>
        <v>0</v>
      </c>
      <c r="AR20" s="324">
        <f t="shared" si="0"/>
        <v>0</v>
      </c>
      <c r="AS20" s="318"/>
      <c r="AT20" s="318"/>
      <c r="AU20" s="318"/>
      <c r="AV20" s="318"/>
      <c r="AW20" s="319"/>
      <c r="AX20" s="319"/>
      <c r="AY20" s="319"/>
      <c r="AZ20" s="319"/>
      <c r="BA20" s="319"/>
      <c r="BB20" s="319"/>
      <c r="BF20" s="318"/>
      <c r="BG20" s="318"/>
      <c r="BH20" s="318"/>
      <c r="BI20" s="318"/>
      <c r="BJ20" s="318"/>
      <c r="BK20" s="318"/>
      <c r="BL20" s="318"/>
      <c r="BM20" s="318"/>
      <c r="BN20" s="318"/>
      <c r="BO20" s="318"/>
      <c r="BP20" s="318"/>
      <c r="BQ20" s="318"/>
      <c r="BR20" s="318"/>
      <c r="BS20" s="318"/>
      <c r="BT20" s="318"/>
      <c r="BU20" s="318"/>
      <c r="BV20" s="318"/>
      <c r="BW20" s="318"/>
    </row>
    <row r="21" spans="1:75" s="258" customFormat="1" ht="14.25" customHeight="1">
      <c r="A21" s="251"/>
      <c r="B21" s="251"/>
      <c r="C21" s="251"/>
      <c r="D21" s="251"/>
      <c r="E21" s="251"/>
      <c r="F21" s="251"/>
      <c r="G21" s="252"/>
      <c r="H21" s="394"/>
      <c r="I21" s="440"/>
      <c r="J21" s="400"/>
      <c r="K21" s="400"/>
      <c r="L21" s="400"/>
      <c r="M21" s="443"/>
      <c r="N21" s="440"/>
      <c r="O21" s="403"/>
      <c r="P21" s="403"/>
      <c r="Q21" s="390"/>
      <c r="R21" s="390"/>
      <c r="S21" s="390"/>
      <c r="T21" s="390"/>
      <c r="U21" s="390"/>
      <c r="V21" s="390"/>
      <c r="W21" s="381"/>
      <c r="X21" s="381"/>
      <c r="Y21" s="381"/>
      <c r="Z21" s="452"/>
      <c r="AA21" s="452"/>
      <c r="AB21" s="263" t="s">
        <v>217</v>
      </c>
      <c r="AC21" s="325"/>
      <c r="AD21" s="325"/>
      <c r="AE21" s="325"/>
      <c r="AF21" s="325"/>
      <c r="AG21" s="325"/>
      <c r="AH21" s="325"/>
      <c r="AI21" s="325"/>
      <c r="AJ21" s="325"/>
      <c r="AK21" s="325"/>
      <c r="AL21" s="325"/>
      <c r="AM21" s="325"/>
      <c r="AN21" s="325"/>
      <c r="AO21" s="325"/>
      <c r="AP21" s="325"/>
      <c r="AQ21" s="260">
        <f t="shared" si="0"/>
        <v>0</v>
      </c>
      <c r="AR21" s="261">
        <f t="shared" si="0"/>
        <v>0</v>
      </c>
      <c r="AS21" s="6"/>
      <c r="AT21" s="6"/>
      <c r="AU21" s="6"/>
      <c r="AV21" s="6"/>
      <c r="AW21" s="262"/>
      <c r="AX21" s="262"/>
      <c r="AY21" s="262"/>
      <c r="AZ21" s="262"/>
      <c r="BA21" s="262"/>
      <c r="BB21" s="262"/>
      <c r="BF21" s="6"/>
      <c r="BG21" s="6"/>
      <c r="BH21" s="6"/>
      <c r="BI21" s="6"/>
      <c r="BJ21" s="6"/>
      <c r="BK21" s="6"/>
      <c r="BL21" s="6"/>
      <c r="BM21" s="6"/>
      <c r="BN21" s="6"/>
      <c r="BO21" s="6"/>
      <c r="BP21" s="6"/>
      <c r="BQ21" s="6"/>
      <c r="BR21" s="6"/>
      <c r="BS21" s="6"/>
      <c r="BT21" s="6"/>
      <c r="BU21" s="6"/>
      <c r="BV21" s="6"/>
      <c r="BW21" s="6"/>
    </row>
    <row r="22" spans="1:75" s="258" customFormat="1" ht="6.75" customHeight="1" thickBot="1">
      <c r="A22" s="251"/>
      <c r="B22" s="251"/>
      <c r="C22" s="251"/>
      <c r="D22" s="251"/>
      <c r="E22" s="251"/>
      <c r="F22" s="251"/>
      <c r="G22" s="252"/>
      <c r="H22" s="394"/>
      <c r="I22" s="440"/>
      <c r="J22" s="400"/>
      <c r="K22" s="400"/>
      <c r="L22" s="400"/>
      <c r="M22" s="443"/>
      <c r="N22" s="440"/>
      <c r="O22" s="403"/>
      <c r="P22" s="403"/>
      <c r="Q22" s="390"/>
      <c r="R22" s="390"/>
      <c r="S22" s="390"/>
      <c r="T22" s="390"/>
      <c r="U22" s="390"/>
      <c r="V22" s="390"/>
      <c r="W22" s="381"/>
      <c r="X22" s="381"/>
      <c r="Y22" s="381"/>
      <c r="Z22" s="452"/>
      <c r="AA22" s="452"/>
      <c r="AB22" s="264" t="s">
        <v>218</v>
      </c>
      <c r="AC22" s="265">
        <f aca="true" t="shared" si="1" ref="AC22:AR22">SUM(AC16:AC21)</f>
        <v>0</v>
      </c>
      <c r="AD22" s="265">
        <f t="shared" si="1"/>
        <v>0</v>
      </c>
      <c r="AE22" s="265">
        <f t="shared" si="1"/>
        <v>0</v>
      </c>
      <c r="AF22" s="265">
        <f t="shared" si="1"/>
        <v>0</v>
      </c>
      <c r="AG22" s="265">
        <f t="shared" si="1"/>
        <v>0</v>
      </c>
      <c r="AH22" s="265">
        <f t="shared" si="1"/>
        <v>0</v>
      </c>
      <c r="AI22" s="265">
        <f t="shared" si="1"/>
        <v>0</v>
      </c>
      <c r="AJ22" s="265">
        <f t="shared" si="1"/>
        <v>0</v>
      </c>
      <c r="AK22" s="265">
        <f t="shared" si="1"/>
        <v>0</v>
      </c>
      <c r="AL22" s="265">
        <f t="shared" si="1"/>
        <v>0</v>
      </c>
      <c r="AM22" s="265">
        <f t="shared" si="1"/>
        <v>0</v>
      </c>
      <c r="AN22" s="265">
        <f t="shared" si="1"/>
        <v>0</v>
      </c>
      <c r="AO22" s="265">
        <f t="shared" si="1"/>
        <v>0</v>
      </c>
      <c r="AP22" s="265">
        <f t="shared" si="1"/>
        <v>0</v>
      </c>
      <c r="AQ22" s="265">
        <f t="shared" si="1"/>
        <v>0</v>
      </c>
      <c r="AR22" s="266">
        <f t="shared" si="1"/>
        <v>0</v>
      </c>
      <c r="AS22" s="6"/>
      <c r="AT22" s="6"/>
      <c r="AU22" s="6"/>
      <c r="AV22" s="6"/>
      <c r="AW22" s="262"/>
      <c r="AX22" s="262"/>
      <c r="AY22" s="262"/>
      <c r="AZ22" s="262"/>
      <c r="BA22" s="262"/>
      <c r="BB22" s="262"/>
      <c r="BF22" s="6"/>
      <c r="BG22" s="6"/>
      <c r="BH22" s="6"/>
      <c r="BI22" s="6"/>
      <c r="BJ22" s="6"/>
      <c r="BK22" s="6"/>
      <c r="BL22" s="6"/>
      <c r="BM22" s="6"/>
      <c r="BN22" s="6"/>
      <c r="BO22" s="6"/>
      <c r="BP22" s="6"/>
      <c r="BQ22" s="6"/>
      <c r="BR22" s="6"/>
      <c r="BS22" s="6"/>
      <c r="BT22" s="6"/>
      <c r="BU22" s="6"/>
      <c r="BV22" s="6"/>
      <c r="BW22" s="6"/>
    </row>
    <row r="23" spans="1:75" s="258" customFormat="1" ht="1.5" customHeight="1" hidden="1" thickBot="1">
      <c r="A23" s="251"/>
      <c r="B23" s="251"/>
      <c r="C23" s="251"/>
      <c r="D23" s="251"/>
      <c r="E23" s="251"/>
      <c r="F23" s="251"/>
      <c r="G23" s="252"/>
      <c r="H23" s="394"/>
      <c r="I23" s="440"/>
      <c r="J23" s="400"/>
      <c r="K23" s="400"/>
      <c r="L23" s="400"/>
      <c r="M23" s="443"/>
      <c r="N23" s="440"/>
      <c r="O23" s="403"/>
      <c r="P23" s="403"/>
      <c r="Q23" s="390"/>
      <c r="R23" s="390"/>
      <c r="S23" s="390"/>
      <c r="T23" s="390"/>
      <c r="U23" s="390"/>
      <c r="V23" s="390"/>
      <c r="W23" s="381"/>
      <c r="X23" s="381"/>
      <c r="Y23" s="381"/>
      <c r="Z23" s="452"/>
      <c r="AA23" s="452"/>
      <c r="AB23" s="259" t="s">
        <v>219</v>
      </c>
      <c r="AC23" s="325"/>
      <c r="AD23" s="325"/>
      <c r="AE23" s="325"/>
      <c r="AF23" s="325"/>
      <c r="AG23" s="325"/>
      <c r="AH23" s="325"/>
      <c r="AI23" s="325"/>
      <c r="AJ23" s="325"/>
      <c r="AK23" s="325"/>
      <c r="AL23" s="325"/>
      <c r="AM23" s="325"/>
      <c r="AN23" s="325"/>
      <c r="AO23" s="325"/>
      <c r="AP23" s="325"/>
      <c r="AQ23" s="260">
        <f>+AC23+AE23+AG23+AI23+AK23+AM23+AO23</f>
        <v>0</v>
      </c>
      <c r="AR23" s="261">
        <f aca="true" t="shared" si="2" ref="AR23:AR29">+AD23+AF23+AH23+AJ23+AL23+AN23+AP23</f>
        <v>0</v>
      </c>
      <c r="AS23" s="6"/>
      <c r="AT23" s="6"/>
      <c r="AU23" s="6"/>
      <c r="AV23" s="6"/>
      <c r="AW23" s="262"/>
      <c r="AX23" s="262"/>
      <c r="AY23" s="262"/>
      <c r="AZ23" s="262"/>
      <c r="BA23" s="262"/>
      <c r="BB23" s="262"/>
      <c r="BF23" s="6"/>
      <c r="BG23" s="6"/>
      <c r="BH23" s="6"/>
      <c r="BI23" s="6"/>
      <c r="BJ23" s="6"/>
      <c r="BK23" s="6"/>
      <c r="BL23" s="6"/>
      <c r="BM23" s="6"/>
      <c r="BN23" s="6"/>
      <c r="BO23" s="6"/>
      <c r="BP23" s="6"/>
      <c r="BQ23" s="6"/>
      <c r="BR23" s="6"/>
      <c r="BS23" s="6"/>
      <c r="BT23" s="6"/>
      <c r="BU23" s="6"/>
      <c r="BV23" s="6"/>
      <c r="BW23" s="6"/>
    </row>
    <row r="24" spans="1:75" s="258" customFormat="1" ht="12" customHeight="1" hidden="1" thickBot="1">
      <c r="A24" s="251"/>
      <c r="B24" s="251"/>
      <c r="C24" s="251"/>
      <c r="D24" s="251"/>
      <c r="E24" s="251"/>
      <c r="F24" s="251"/>
      <c r="G24" s="252"/>
      <c r="H24" s="394"/>
      <c r="I24" s="440"/>
      <c r="J24" s="400"/>
      <c r="K24" s="400"/>
      <c r="L24" s="400"/>
      <c r="M24" s="443"/>
      <c r="N24" s="440"/>
      <c r="O24" s="403"/>
      <c r="P24" s="403"/>
      <c r="Q24" s="390"/>
      <c r="R24" s="390"/>
      <c r="S24" s="390"/>
      <c r="T24" s="390"/>
      <c r="U24" s="390"/>
      <c r="V24" s="390"/>
      <c r="W24" s="381"/>
      <c r="X24" s="381"/>
      <c r="Y24" s="381"/>
      <c r="Z24" s="452"/>
      <c r="AA24" s="452"/>
      <c r="AB24" s="259" t="s">
        <v>288</v>
      </c>
      <c r="AC24" s="325"/>
      <c r="AD24" s="325"/>
      <c r="AE24" s="325"/>
      <c r="AF24" s="325"/>
      <c r="AG24" s="325"/>
      <c r="AH24" s="325"/>
      <c r="AI24" s="325"/>
      <c r="AJ24" s="325"/>
      <c r="AK24" s="325"/>
      <c r="AL24" s="325"/>
      <c r="AM24" s="325"/>
      <c r="AN24" s="325"/>
      <c r="AO24" s="325"/>
      <c r="AP24" s="325"/>
      <c r="AQ24" s="260">
        <f aca="true" t="shared" si="3" ref="AQ24:AQ29">+AC24+AE24+AG24+AI24+AK24+AM24+AO24</f>
        <v>0</v>
      </c>
      <c r="AR24" s="261">
        <f t="shared" si="2"/>
        <v>0</v>
      </c>
      <c r="AS24" s="6"/>
      <c r="AT24" s="6"/>
      <c r="AU24" s="6"/>
      <c r="AV24" s="6"/>
      <c r="AW24" s="262"/>
      <c r="AX24" s="262"/>
      <c r="AY24" s="262"/>
      <c r="AZ24" s="262"/>
      <c r="BA24" s="262"/>
      <c r="BB24" s="262"/>
      <c r="BF24" s="6"/>
      <c r="BG24" s="6"/>
      <c r="BH24" s="6"/>
      <c r="BI24" s="6"/>
      <c r="BJ24" s="6"/>
      <c r="BK24" s="6"/>
      <c r="BL24" s="6"/>
      <c r="BM24" s="6"/>
      <c r="BN24" s="6"/>
      <c r="BO24" s="6"/>
      <c r="BP24" s="6"/>
      <c r="BQ24" s="6"/>
      <c r="BR24" s="6"/>
      <c r="BS24" s="6"/>
      <c r="BT24" s="6"/>
      <c r="BU24" s="6"/>
      <c r="BV24" s="6"/>
      <c r="BW24" s="6"/>
    </row>
    <row r="25" spans="1:75" s="258" customFormat="1" ht="14.25" customHeight="1" hidden="1" thickBot="1">
      <c r="A25" s="251"/>
      <c r="B25" s="251"/>
      <c r="C25" s="251"/>
      <c r="D25" s="251"/>
      <c r="E25" s="251"/>
      <c r="F25" s="251"/>
      <c r="G25" s="252"/>
      <c r="H25" s="394"/>
      <c r="I25" s="440"/>
      <c r="J25" s="400"/>
      <c r="K25" s="400"/>
      <c r="L25" s="400"/>
      <c r="M25" s="443"/>
      <c r="N25" s="440"/>
      <c r="O25" s="403"/>
      <c r="P25" s="403"/>
      <c r="Q25" s="390"/>
      <c r="R25" s="390"/>
      <c r="S25" s="390"/>
      <c r="T25" s="390"/>
      <c r="U25" s="390"/>
      <c r="V25" s="390"/>
      <c r="W25" s="381"/>
      <c r="X25" s="381"/>
      <c r="Y25" s="381"/>
      <c r="Z25" s="452"/>
      <c r="AA25" s="452"/>
      <c r="AB25" s="263" t="s">
        <v>221</v>
      </c>
      <c r="AC25" s="325"/>
      <c r="AD25" s="325"/>
      <c r="AE25" s="325"/>
      <c r="AF25" s="325"/>
      <c r="AG25" s="325"/>
      <c r="AH25" s="325"/>
      <c r="AI25" s="325"/>
      <c r="AJ25" s="325"/>
      <c r="AK25" s="325"/>
      <c r="AL25" s="325"/>
      <c r="AM25" s="325"/>
      <c r="AN25" s="325"/>
      <c r="AO25" s="325"/>
      <c r="AP25" s="325"/>
      <c r="AQ25" s="260">
        <f t="shared" si="3"/>
        <v>0</v>
      </c>
      <c r="AR25" s="261">
        <f t="shared" si="2"/>
        <v>0</v>
      </c>
      <c r="AS25" s="6"/>
      <c r="AT25" s="6"/>
      <c r="AU25" s="6"/>
      <c r="AV25" s="6"/>
      <c r="AW25" s="262"/>
      <c r="AX25" s="262"/>
      <c r="AY25" s="262"/>
      <c r="AZ25" s="262"/>
      <c r="BA25" s="262"/>
      <c r="BB25" s="262"/>
      <c r="BF25" s="6"/>
      <c r="BG25" s="6"/>
      <c r="BH25" s="6"/>
      <c r="BI25" s="6"/>
      <c r="BJ25" s="6"/>
      <c r="BK25" s="6"/>
      <c r="BL25" s="6"/>
      <c r="BM25" s="6"/>
      <c r="BN25" s="6"/>
      <c r="BO25" s="6"/>
      <c r="BP25" s="6"/>
      <c r="BQ25" s="6"/>
      <c r="BR25" s="6"/>
      <c r="BS25" s="6"/>
      <c r="BT25" s="6"/>
      <c r="BU25" s="6"/>
      <c r="BV25" s="6"/>
      <c r="BW25" s="6"/>
    </row>
    <row r="26" spans="1:75" s="258" customFormat="1" ht="14.25" customHeight="1" hidden="1" thickBot="1">
      <c r="A26" s="251"/>
      <c r="B26" s="251"/>
      <c r="C26" s="251"/>
      <c r="D26" s="251"/>
      <c r="E26" s="251"/>
      <c r="F26" s="251"/>
      <c r="G26" s="252"/>
      <c r="H26" s="394"/>
      <c r="I26" s="440"/>
      <c r="J26" s="400"/>
      <c r="K26" s="400"/>
      <c r="L26" s="400"/>
      <c r="M26" s="443"/>
      <c r="N26" s="440"/>
      <c r="O26" s="403"/>
      <c r="P26" s="403"/>
      <c r="Q26" s="390"/>
      <c r="R26" s="390"/>
      <c r="S26" s="390"/>
      <c r="T26" s="390"/>
      <c r="U26" s="390"/>
      <c r="V26" s="390"/>
      <c r="W26" s="381"/>
      <c r="X26" s="381"/>
      <c r="Y26" s="381"/>
      <c r="Z26" s="452"/>
      <c r="AA26" s="452"/>
      <c r="AB26" s="263" t="s">
        <v>222</v>
      </c>
      <c r="AC26" s="325"/>
      <c r="AD26" s="325"/>
      <c r="AE26" s="325"/>
      <c r="AF26" s="325"/>
      <c r="AG26" s="325"/>
      <c r="AH26" s="325"/>
      <c r="AI26" s="325"/>
      <c r="AJ26" s="325"/>
      <c r="AK26" s="325"/>
      <c r="AL26" s="325"/>
      <c r="AM26" s="325"/>
      <c r="AN26" s="325"/>
      <c r="AO26" s="325"/>
      <c r="AP26" s="325"/>
      <c r="AQ26" s="260">
        <f t="shared" si="3"/>
        <v>0</v>
      </c>
      <c r="AR26" s="261">
        <f t="shared" si="2"/>
        <v>0</v>
      </c>
      <c r="AS26" s="6"/>
      <c r="AT26" s="6"/>
      <c r="AU26" s="6"/>
      <c r="AV26" s="6"/>
      <c r="AW26" s="262"/>
      <c r="AX26" s="262"/>
      <c r="AY26" s="262"/>
      <c r="AZ26" s="262"/>
      <c r="BA26" s="262"/>
      <c r="BB26" s="262"/>
      <c r="BF26" s="6"/>
      <c r="BG26" s="6"/>
      <c r="BH26" s="6"/>
      <c r="BI26" s="6"/>
      <c r="BJ26" s="6"/>
      <c r="BK26" s="6"/>
      <c r="BL26" s="6"/>
      <c r="BM26" s="6"/>
      <c r="BN26" s="6"/>
      <c r="BO26" s="6"/>
      <c r="BP26" s="6"/>
      <c r="BQ26" s="6"/>
      <c r="BR26" s="6"/>
      <c r="BS26" s="6"/>
      <c r="BT26" s="6"/>
      <c r="BU26" s="6"/>
      <c r="BV26" s="6"/>
      <c r="BW26" s="6"/>
    </row>
    <row r="27" spans="1:75" s="258" customFormat="1" ht="14.25" customHeight="1" hidden="1" thickBot="1">
      <c r="A27" s="251"/>
      <c r="B27" s="251"/>
      <c r="C27" s="251"/>
      <c r="D27" s="251"/>
      <c r="E27" s="251"/>
      <c r="F27" s="251"/>
      <c r="G27" s="252"/>
      <c r="H27" s="394"/>
      <c r="I27" s="440"/>
      <c r="J27" s="400"/>
      <c r="K27" s="400"/>
      <c r="L27" s="400"/>
      <c r="M27" s="443"/>
      <c r="N27" s="440"/>
      <c r="O27" s="403"/>
      <c r="P27" s="403"/>
      <c r="Q27" s="390"/>
      <c r="R27" s="390"/>
      <c r="S27" s="390"/>
      <c r="T27" s="390"/>
      <c r="U27" s="390"/>
      <c r="V27" s="390"/>
      <c r="W27" s="381"/>
      <c r="X27" s="381"/>
      <c r="Y27" s="381"/>
      <c r="Z27" s="452"/>
      <c r="AA27" s="452"/>
      <c r="AB27" s="263" t="s">
        <v>223</v>
      </c>
      <c r="AC27" s="325"/>
      <c r="AD27" s="325"/>
      <c r="AE27" s="325"/>
      <c r="AF27" s="325"/>
      <c r="AG27" s="325"/>
      <c r="AH27" s="325"/>
      <c r="AI27" s="325"/>
      <c r="AJ27" s="325"/>
      <c r="AK27" s="325"/>
      <c r="AL27" s="325"/>
      <c r="AM27" s="325"/>
      <c r="AN27" s="325"/>
      <c r="AO27" s="325"/>
      <c r="AP27" s="325"/>
      <c r="AQ27" s="260">
        <f t="shared" si="3"/>
        <v>0</v>
      </c>
      <c r="AR27" s="261">
        <f t="shared" si="2"/>
        <v>0</v>
      </c>
      <c r="AS27" s="6"/>
      <c r="AT27" s="6"/>
      <c r="AU27" s="6"/>
      <c r="AV27" s="6"/>
      <c r="AW27" s="262"/>
      <c r="AX27" s="262"/>
      <c r="AY27" s="262"/>
      <c r="AZ27" s="262"/>
      <c r="BA27" s="262"/>
      <c r="BB27" s="262"/>
      <c r="BF27" s="6"/>
      <c r="BG27" s="6"/>
      <c r="BH27" s="6"/>
      <c r="BI27" s="6"/>
      <c r="BJ27" s="6"/>
      <c r="BK27" s="6"/>
      <c r="BL27" s="6"/>
      <c r="BM27" s="6"/>
      <c r="BN27" s="6"/>
      <c r="BO27" s="6"/>
      <c r="BP27" s="6"/>
      <c r="BQ27" s="6"/>
      <c r="BR27" s="6"/>
      <c r="BS27" s="6"/>
      <c r="BT27" s="6"/>
      <c r="BU27" s="6"/>
      <c r="BV27" s="6"/>
      <c r="BW27" s="6"/>
    </row>
    <row r="28" spans="1:75" s="258" customFormat="1" ht="14.25" customHeight="1" hidden="1" thickBot="1">
      <c r="A28" s="251"/>
      <c r="B28" s="251"/>
      <c r="C28" s="251"/>
      <c r="D28" s="251"/>
      <c r="E28" s="251"/>
      <c r="F28" s="251"/>
      <c r="G28" s="252"/>
      <c r="H28" s="394"/>
      <c r="I28" s="440"/>
      <c r="J28" s="400"/>
      <c r="K28" s="400"/>
      <c r="L28" s="400"/>
      <c r="M28" s="443"/>
      <c r="N28" s="440"/>
      <c r="O28" s="403"/>
      <c r="P28" s="403"/>
      <c r="Q28" s="390"/>
      <c r="R28" s="390"/>
      <c r="S28" s="390"/>
      <c r="T28" s="390"/>
      <c r="U28" s="390"/>
      <c r="V28" s="390"/>
      <c r="W28" s="381"/>
      <c r="X28" s="381"/>
      <c r="Y28" s="381"/>
      <c r="Z28" s="452"/>
      <c r="AA28" s="452"/>
      <c r="AB28" s="263" t="s">
        <v>224</v>
      </c>
      <c r="AC28" s="325"/>
      <c r="AD28" s="325"/>
      <c r="AE28" s="325"/>
      <c r="AF28" s="325"/>
      <c r="AG28" s="325"/>
      <c r="AH28" s="325"/>
      <c r="AI28" s="325"/>
      <c r="AJ28" s="325"/>
      <c r="AK28" s="325"/>
      <c r="AL28" s="325"/>
      <c r="AM28" s="325"/>
      <c r="AN28" s="325"/>
      <c r="AO28" s="325"/>
      <c r="AP28" s="325"/>
      <c r="AQ28" s="260">
        <f t="shared" si="3"/>
        <v>0</v>
      </c>
      <c r="AR28" s="261">
        <f t="shared" si="2"/>
        <v>0</v>
      </c>
      <c r="AS28" s="6"/>
      <c r="AT28" s="6"/>
      <c r="AU28" s="6"/>
      <c r="AV28" s="6"/>
      <c r="AW28" s="262"/>
      <c r="AX28" s="262"/>
      <c r="AY28" s="262"/>
      <c r="AZ28" s="262"/>
      <c r="BA28" s="262"/>
      <c r="BB28" s="262"/>
      <c r="BF28" s="6"/>
      <c r="BG28" s="6"/>
      <c r="BH28" s="6"/>
      <c r="BI28" s="6"/>
      <c r="BJ28" s="6"/>
      <c r="BK28" s="6"/>
      <c r="BL28" s="6"/>
      <c r="BM28" s="6"/>
      <c r="BN28" s="6"/>
      <c r="BO28" s="6"/>
      <c r="BP28" s="6"/>
      <c r="BQ28" s="6"/>
      <c r="BR28" s="6"/>
      <c r="BS28" s="6"/>
      <c r="BT28" s="6"/>
      <c r="BU28" s="6"/>
      <c r="BV28" s="6"/>
      <c r="BW28" s="6"/>
    </row>
    <row r="29" spans="1:75" s="258" customFormat="1" ht="14.25" customHeight="1" hidden="1" thickBot="1">
      <c r="A29" s="251"/>
      <c r="B29" s="251"/>
      <c r="C29" s="251"/>
      <c r="D29" s="251"/>
      <c r="E29" s="251"/>
      <c r="F29" s="251"/>
      <c r="G29" s="252"/>
      <c r="H29" s="394"/>
      <c r="I29" s="440"/>
      <c r="J29" s="400"/>
      <c r="K29" s="400"/>
      <c r="L29" s="400"/>
      <c r="M29" s="443"/>
      <c r="N29" s="440"/>
      <c r="O29" s="403"/>
      <c r="P29" s="403"/>
      <c r="Q29" s="390"/>
      <c r="R29" s="390"/>
      <c r="S29" s="390"/>
      <c r="T29" s="390"/>
      <c r="U29" s="390"/>
      <c r="V29" s="390"/>
      <c r="W29" s="381"/>
      <c r="X29" s="381"/>
      <c r="Y29" s="381"/>
      <c r="Z29" s="452"/>
      <c r="AA29" s="452"/>
      <c r="AB29" s="263" t="s">
        <v>225</v>
      </c>
      <c r="AC29" s="325"/>
      <c r="AD29" s="325"/>
      <c r="AE29" s="325"/>
      <c r="AF29" s="325"/>
      <c r="AG29" s="325"/>
      <c r="AH29" s="325"/>
      <c r="AI29" s="325"/>
      <c r="AJ29" s="325"/>
      <c r="AK29" s="325"/>
      <c r="AL29" s="325"/>
      <c r="AM29" s="325"/>
      <c r="AN29" s="325"/>
      <c r="AO29" s="325"/>
      <c r="AP29" s="325"/>
      <c r="AQ29" s="260">
        <f t="shared" si="3"/>
        <v>0</v>
      </c>
      <c r="AR29" s="261">
        <f t="shared" si="2"/>
        <v>0</v>
      </c>
      <c r="AS29" s="6"/>
      <c r="AT29" s="6"/>
      <c r="AU29" s="6"/>
      <c r="AV29" s="6"/>
      <c r="AW29" s="262"/>
      <c r="AX29" s="262"/>
      <c r="AY29" s="262"/>
      <c r="AZ29" s="262"/>
      <c r="BA29" s="262"/>
      <c r="BB29" s="262"/>
      <c r="BF29" s="6"/>
      <c r="BG29" s="6"/>
      <c r="BH29" s="6"/>
      <c r="BI29" s="6"/>
      <c r="BJ29" s="6"/>
      <c r="BK29" s="6"/>
      <c r="BL29" s="6"/>
      <c r="BM29" s="6"/>
      <c r="BN29" s="6"/>
      <c r="BO29" s="6"/>
      <c r="BP29" s="6"/>
      <c r="BQ29" s="6"/>
      <c r="BR29" s="6"/>
      <c r="BS29" s="6"/>
      <c r="BT29" s="6"/>
      <c r="BU29" s="6"/>
      <c r="BV29" s="6"/>
      <c r="BW29" s="6"/>
    </row>
    <row r="30" spans="1:75" s="258" customFormat="1" ht="14.25" customHeight="1" hidden="1" thickBot="1">
      <c r="A30" s="251"/>
      <c r="B30" s="251"/>
      <c r="C30" s="251"/>
      <c r="D30" s="251"/>
      <c r="E30" s="251"/>
      <c r="F30" s="251"/>
      <c r="G30" s="252"/>
      <c r="H30" s="394"/>
      <c r="I30" s="440"/>
      <c r="J30" s="400"/>
      <c r="K30" s="400"/>
      <c r="L30" s="400"/>
      <c r="M30" s="443"/>
      <c r="N30" s="440"/>
      <c r="O30" s="403"/>
      <c r="P30" s="403"/>
      <c r="Q30" s="390"/>
      <c r="R30" s="390"/>
      <c r="S30" s="390"/>
      <c r="T30" s="390"/>
      <c r="U30" s="390"/>
      <c r="V30" s="390"/>
      <c r="W30" s="381"/>
      <c r="X30" s="381"/>
      <c r="Y30" s="381"/>
      <c r="Z30" s="452"/>
      <c r="AA30" s="452"/>
      <c r="AB30" s="264" t="s">
        <v>289</v>
      </c>
      <c r="AC30" s="265">
        <f aca="true" t="shared" si="4" ref="AC30:AR30">SUM(AC24:AC29)+IF(AC22=0,AC23,AC22)</f>
        <v>0</v>
      </c>
      <c r="AD30" s="265">
        <f t="shared" si="4"/>
        <v>0</v>
      </c>
      <c r="AE30" s="265">
        <f t="shared" si="4"/>
        <v>0</v>
      </c>
      <c r="AF30" s="265">
        <f t="shared" si="4"/>
        <v>0</v>
      </c>
      <c r="AG30" s="265">
        <f t="shared" si="4"/>
        <v>0</v>
      </c>
      <c r="AH30" s="265">
        <f t="shared" si="4"/>
        <v>0</v>
      </c>
      <c r="AI30" s="265">
        <f t="shared" si="4"/>
        <v>0</v>
      </c>
      <c r="AJ30" s="265">
        <f t="shared" si="4"/>
        <v>0</v>
      </c>
      <c r="AK30" s="265">
        <f t="shared" si="4"/>
        <v>0</v>
      </c>
      <c r="AL30" s="265">
        <f t="shared" si="4"/>
        <v>0</v>
      </c>
      <c r="AM30" s="265">
        <f t="shared" si="4"/>
        <v>0</v>
      </c>
      <c r="AN30" s="265">
        <f t="shared" si="4"/>
        <v>0</v>
      </c>
      <c r="AO30" s="265">
        <f t="shared" si="4"/>
        <v>0</v>
      </c>
      <c r="AP30" s="265">
        <f t="shared" si="4"/>
        <v>0</v>
      </c>
      <c r="AQ30" s="265">
        <f t="shared" si="4"/>
        <v>0</v>
      </c>
      <c r="AR30" s="266">
        <f t="shared" si="4"/>
        <v>0</v>
      </c>
      <c r="AS30" s="6"/>
      <c r="AT30" s="6"/>
      <c r="AU30" s="6"/>
      <c r="AV30" s="6"/>
      <c r="AW30" s="262"/>
      <c r="AX30" s="262"/>
      <c r="AY30" s="262"/>
      <c r="AZ30" s="262"/>
      <c r="BA30" s="262"/>
      <c r="BB30" s="262"/>
      <c r="BF30" s="6"/>
      <c r="BG30" s="6"/>
      <c r="BH30" s="6"/>
      <c r="BI30" s="6"/>
      <c r="BJ30" s="6"/>
      <c r="BK30" s="6"/>
      <c r="BL30" s="6"/>
      <c r="BM30" s="6"/>
      <c r="BN30" s="6"/>
      <c r="BO30" s="6"/>
      <c r="BP30" s="6"/>
      <c r="BQ30" s="6"/>
      <c r="BR30" s="6"/>
      <c r="BS30" s="6"/>
      <c r="BT30" s="6"/>
      <c r="BU30" s="6"/>
      <c r="BV30" s="6"/>
      <c r="BW30" s="6"/>
    </row>
    <row r="31" spans="1:75" s="258" customFormat="1" ht="70.5" customHeight="1" hidden="1" thickBot="1">
      <c r="A31" s="251"/>
      <c r="B31" s="251"/>
      <c r="C31" s="251"/>
      <c r="D31" s="251"/>
      <c r="E31" s="251"/>
      <c r="F31" s="251"/>
      <c r="G31" s="252"/>
      <c r="H31" s="395"/>
      <c r="I31" s="441"/>
      <c r="J31" s="401"/>
      <c r="K31" s="401"/>
      <c r="L31" s="401"/>
      <c r="M31" s="444"/>
      <c r="N31" s="441"/>
      <c r="O31" s="404"/>
      <c r="P31" s="404"/>
      <c r="Q31" s="391"/>
      <c r="R31" s="391"/>
      <c r="S31" s="391"/>
      <c r="T31" s="391"/>
      <c r="U31" s="391"/>
      <c r="V31" s="391"/>
      <c r="W31" s="382"/>
      <c r="X31" s="382"/>
      <c r="Y31" s="382"/>
      <c r="Z31" s="453"/>
      <c r="AA31" s="453"/>
      <c r="AB31" s="267" t="s">
        <v>290</v>
      </c>
      <c r="AC31" s="326"/>
      <c r="AD31" s="326"/>
      <c r="AE31" s="326"/>
      <c r="AF31" s="326"/>
      <c r="AG31" s="326"/>
      <c r="AH31" s="326"/>
      <c r="AI31" s="326"/>
      <c r="AJ31" s="326"/>
      <c r="AK31" s="326"/>
      <c r="AL31" s="326"/>
      <c r="AM31" s="326"/>
      <c r="AN31" s="326"/>
      <c r="AO31" s="326"/>
      <c r="AP31" s="326"/>
      <c r="AQ31" s="268">
        <f aca="true" t="shared" si="5" ref="AQ31:AR37">+AC31+AE31+AG31+AI31+AK31+AM31+AO31</f>
        <v>0</v>
      </c>
      <c r="AR31" s="269">
        <f t="shared" si="5"/>
        <v>0</v>
      </c>
      <c r="AS31" s="6"/>
      <c r="AT31" s="6"/>
      <c r="AU31" s="6"/>
      <c r="AV31" s="6"/>
      <c r="AW31" s="262"/>
      <c r="AX31" s="262"/>
      <c r="AY31" s="262"/>
      <c r="AZ31" s="262"/>
      <c r="BA31" s="262"/>
      <c r="BB31" s="262"/>
      <c r="BF31" s="6"/>
      <c r="BG31" s="6"/>
      <c r="BH31" s="6"/>
      <c r="BI31" s="6"/>
      <c r="BJ31" s="6"/>
      <c r="BK31" s="6"/>
      <c r="BL31" s="6"/>
      <c r="BM31" s="6"/>
      <c r="BN31" s="6"/>
      <c r="BO31" s="6"/>
      <c r="BP31" s="6"/>
      <c r="BQ31" s="6"/>
      <c r="BR31" s="6"/>
      <c r="BS31" s="6"/>
      <c r="BT31" s="6"/>
      <c r="BU31" s="6"/>
      <c r="BV31" s="6"/>
      <c r="BW31" s="6"/>
    </row>
    <row r="32" spans="1:75" s="258" customFormat="1" ht="14.25" customHeight="1">
      <c r="A32" s="251" t="s">
        <v>259</v>
      </c>
      <c r="B32" s="251" t="s">
        <v>260</v>
      </c>
      <c r="C32" s="251" t="s">
        <v>202</v>
      </c>
      <c r="D32" s="251" t="s">
        <v>203</v>
      </c>
      <c r="E32" s="251" t="s">
        <v>204</v>
      </c>
      <c r="F32" s="251" t="s">
        <v>261</v>
      </c>
      <c r="G32" s="252">
        <v>12</v>
      </c>
      <c r="H32" s="393">
        <v>886</v>
      </c>
      <c r="I32" s="439" t="s">
        <v>52</v>
      </c>
      <c r="J32" s="399"/>
      <c r="K32" s="399" t="s">
        <v>26</v>
      </c>
      <c r="L32" s="399"/>
      <c r="M32" s="396">
        <v>0</v>
      </c>
      <c r="N32" s="442" t="s">
        <v>291</v>
      </c>
      <c r="O32" s="445">
        <v>20</v>
      </c>
      <c r="P32" s="448">
        <v>15</v>
      </c>
      <c r="Q32" s="389">
        <f>SUMIF('Actividades inversión 886'!$B$13:$B$35,'Metas inversión 886'!$B32,'Actividades inversión 886'!M$13:M$35)</f>
        <v>870480000</v>
      </c>
      <c r="R32" s="389">
        <f>SUMIF('Actividades inversión 886'!$B$13:$B$35,'Metas inversión 886'!$B32,'Actividades inversión 886'!N$13:N$35)</f>
        <v>778846000</v>
      </c>
      <c r="S32" s="389">
        <f>SUMIF('Actividades inversión 886'!$B$13:$B$35,'Metas inversión 886'!$B32,'Actividades inversión 886'!O$13:O$35)</f>
        <v>501629120</v>
      </c>
      <c r="T32" s="389">
        <f>SUMIF('Actividades inversión 886'!$B$13:$B$35,'Metas inversión 886'!$B32,'Actividades inversión 886'!P$13:P$35)</f>
        <v>64065253</v>
      </c>
      <c r="U32" s="389">
        <f>SUMIF('Actividades inversión 886'!$B$13:$B$35,'Metas inversión 886'!$B32,'Actividades inversión 886'!Q$13:Q$35)</f>
        <v>161776134</v>
      </c>
      <c r="V32" s="389">
        <f>SUMIF('Actividades inversión 886'!$B$13:$B$35,'Metas inversión 886'!$B32,'Actividades inversión 886'!R$13:R$35)</f>
        <v>149243367</v>
      </c>
      <c r="W32" s="408" t="s">
        <v>292</v>
      </c>
      <c r="X32" s="408" t="s">
        <v>293</v>
      </c>
      <c r="Y32" s="380" t="s">
        <v>294</v>
      </c>
      <c r="Z32" s="380" t="s">
        <v>295</v>
      </c>
      <c r="AA32" s="380"/>
      <c r="AB32" s="253" t="s">
        <v>287</v>
      </c>
      <c r="AC32" s="327"/>
      <c r="AD32" s="327"/>
      <c r="AE32" s="327"/>
      <c r="AF32" s="327"/>
      <c r="AG32" s="327"/>
      <c r="AH32" s="327"/>
      <c r="AI32" s="327"/>
      <c r="AJ32" s="327"/>
      <c r="AK32" s="327"/>
      <c r="AL32" s="327"/>
      <c r="AM32" s="327"/>
      <c r="AN32" s="327"/>
      <c r="AO32" s="327"/>
      <c r="AP32" s="327"/>
      <c r="AQ32" s="254">
        <f t="shared" si="5"/>
        <v>0</v>
      </c>
      <c r="AR32" s="255">
        <f t="shared" si="5"/>
        <v>0</v>
      </c>
      <c r="AS32" s="6"/>
      <c r="AT32" s="6"/>
      <c r="AU32" s="6"/>
      <c r="AV32" s="6"/>
      <c r="AW32" s="262">
        <f>+'[6]99-METROPOLITANO'!N30</f>
        <v>870480000</v>
      </c>
      <c r="AX32" s="262">
        <f>+'[6]99-METROPOLITANO'!O30</f>
        <v>778846000</v>
      </c>
      <c r="AY32" s="262">
        <f>+'[6]99-METROPOLITANO'!P30</f>
        <v>501629120</v>
      </c>
      <c r="AZ32" s="262">
        <f>+'[6]99-METROPOLITANO'!Q30</f>
        <v>64065253</v>
      </c>
      <c r="BA32" s="262">
        <f>+'[6]99-METROPOLITANO'!R30</f>
        <v>161776134</v>
      </c>
      <c r="BB32" s="262">
        <f>+'[6]99-METROPOLITANO'!S30</f>
        <v>149243367</v>
      </c>
      <c r="BF32" s="6"/>
      <c r="BG32" s="6"/>
      <c r="BH32" s="6"/>
      <c r="BI32" s="6"/>
      <c r="BJ32" s="6"/>
      <c r="BK32" s="6"/>
      <c r="BL32" s="6"/>
      <c r="BM32" s="6"/>
      <c r="BN32" s="6"/>
      <c r="BO32" s="6"/>
      <c r="BP32" s="6"/>
      <c r="BQ32" s="6"/>
      <c r="BR32" s="6"/>
      <c r="BS32" s="6"/>
      <c r="BT32" s="6"/>
      <c r="BU32" s="6"/>
      <c r="BV32" s="6"/>
      <c r="BW32" s="6"/>
    </row>
    <row r="33" spans="1:75" s="258" customFormat="1" ht="14.25" customHeight="1">
      <c r="A33" s="251"/>
      <c r="B33" s="251"/>
      <c r="C33" s="251"/>
      <c r="D33" s="251"/>
      <c r="E33" s="251"/>
      <c r="F33" s="251"/>
      <c r="G33" s="252"/>
      <c r="H33" s="394"/>
      <c r="I33" s="440"/>
      <c r="J33" s="400"/>
      <c r="K33" s="400"/>
      <c r="L33" s="400"/>
      <c r="M33" s="397"/>
      <c r="N33" s="443"/>
      <c r="O33" s="446"/>
      <c r="P33" s="449"/>
      <c r="Q33" s="390"/>
      <c r="R33" s="390"/>
      <c r="S33" s="390"/>
      <c r="T33" s="390"/>
      <c r="U33" s="390"/>
      <c r="V33" s="390"/>
      <c r="W33" s="381"/>
      <c r="X33" s="381"/>
      <c r="Y33" s="381"/>
      <c r="Z33" s="381"/>
      <c r="AA33" s="381"/>
      <c r="AB33" s="259" t="s">
        <v>213</v>
      </c>
      <c r="AC33" s="325"/>
      <c r="AD33" s="325"/>
      <c r="AE33" s="325"/>
      <c r="AF33" s="325"/>
      <c r="AG33" s="325"/>
      <c r="AH33" s="325"/>
      <c r="AI33" s="325"/>
      <c r="AJ33" s="325"/>
      <c r="AK33" s="325"/>
      <c r="AL33" s="325"/>
      <c r="AM33" s="325"/>
      <c r="AN33" s="325"/>
      <c r="AO33" s="325"/>
      <c r="AP33" s="325"/>
      <c r="AQ33" s="260">
        <f t="shared" si="5"/>
        <v>0</v>
      </c>
      <c r="AR33" s="261">
        <f t="shared" si="5"/>
        <v>0</v>
      </c>
      <c r="AS33" s="6"/>
      <c r="AT33" s="6"/>
      <c r="AU33" s="6"/>
      <c r="AV33" s="6"/>
      <c r="AW33" s="262"/>
      <c r="AX33" s="262"/>
      <c r="AY33" s="262"/>
      <c r="AZ33" s="262"/>
      <c r="BA33" s="262"/>
      <c r="BB33" s="262"/>
      <c r="BF33" s="6"/>
      <c r="BG33" s="6"/>
      <c r="BH33" s="6"/>
      <c r="BI33" s="6"/>
      <c r="BJ33" s="6"/>
      <c r="BK33" s="6"/>
      <c r="BL33" s="6"/>
      <c r="BM33" s="6"/>
      <c r="BN33" s="6"/>
      <c r="BO33" s="6"/>
      <c r="BP33" s="6"/>
      <c r="BQ33" s="6"/>
      <c r="BR33" s="6"/>
      <c r="BS33" s="6"/>
      <c r="BT33" s="6"/>
      <c r="BU33" s="6"/>
      <c r="BV33" s="6"/>
      <c r="BW33" s="6"/>
    </row>
    <row r="34" spans="1:75" s="258" customFormat="1" ht="25.5" customHeight="1">
      <c r="A34" s="251"/>
      <c r="B34" s="251"/>
      <c r="C34" s="251"/>
      <c r="D34" s="251"/>
      <c r="E34" s="251"/>
      <c r="F34" s="251"/>
      <c r="G34" s="252"/>
      <c r="H34" s="394"/>
      <c r="I34" s="440"/>
      <c r="J34" s="400"/>
      <c r="K34" s="400"/>
      <c r="L34" s="400"/>
      <c r="M34" s="397"/>
      <c r="N34" s="443"/>
      <c r="O34" s="446"/>
      <c r="P34" s="449"/>
      <c r="Q34" s="390"/>
      <c r="R34" s="390"/>
      <c r="S34" s="390"/>
      <c r="T34" s="390"/>
      <c r="U34" s="390"/>
      <c r="V34" s="390"/>
      <c r="W34" s="381"/>
      <c r="X34" s="381"/>
      <c r="Y34" s="381"/>
      <c r="Z34" s="381"/>
      <c r="AA34" s="381"/>
      <c r="AB34" s="259" t="s">
        <v>214</v>
      </c>
      <c r="AC34" s="325"/>
      <c r="AD34" s="325"/>
      <c r="AE34" s="325"/>
      <c r="AF34" s="325"/>
      <c r="AG34" s="325"/>
      <c r="AH34" s="325"/>
      <c r="AI34" s="325"/>
      <c r="AJ34" s="325"/>
      <c r="AK34" s="325"/>
      <c r="AL34" s="325"/>
      <c r="AM34" s="325"/>
      <c r="AN34" s="325"/>
      <c r="AO34" s="325"/>
      <c r="AP34" s="325"/>
      <c r="AQ34" s="260">
        <f t="shared" si="5"/>
        <v>0</v>
      </c>
      <c r="AR34" s="261">
        <f t="shared" si="5"/>
        <v>0</v>
      </c>
      <c r="AS34" s="6"/>
      <c r="AT34" s="6"/>
      <c r="AU34" s="6"/>
      <c r="AV34" s="6"/>
      <c r="AW34" s="262"/>
      <c r="AX34" s="262"/>
      <c r="AY34" s="262"/>
      <c r="AZ34" s="262"/>
      <c r="BA34" s="262"/>
      <c r="BB34" s="262"/>
      <c r="BF34" s="6"/>
      <c r="BG34" s="6"/>
      <c r="BH34" s="6"/>
      <c r="BI34" s="6"/>
      <c r="BJ34" s="6"/>
      <c r="BK34" s="6"/>
      <c r="BL34" s="6"/>
      <c r="BM34" s="6"/>
      <c r="BN34" s="6"/>
      <c r="BO34" s="6"/>
      <c r="BP34" s="6"/>
      <c r="BQ34" s="6"/>
      <c r="BR34" s="6"/>
      <c r="BS34" s="6"/>
      <c r="BT34" s="6"/>
      <c r="BU34" s="6"/>
      <c r="BV34" s="6"/>
      <c r="BW34" s="6"/>
    </row>
    <row r="35" spans="1:75" s="258" customFormat="1" ht="2.25" customHeight="1">
      <c r="A35" s="251"/>
      <c r="B35" s="251"/>
      <c r="C35" s="251"/>
      <c r="D35" s="251"/>
      <c r="E35" s="251"/>
      <c r="F35" s="251"/>
      <c r="G35" s="252"/>
      <c r="H35" s="394"/>
      <c r="I35" s="440"/>
      <c r="J35" s="400"/>
      <c r="K35" s="400"/>
      <c r="L35" s="400"/>
      <c r="M35" s="397"/>
      <c r="N35" s="443"/>
      <c r="O35" s="446"/>
      <c r="P35" s="449"/>
      <c r="Q35" s="390"/>
      <c r="R35" s="390"/>
      <c r="S35" s="390"/>
      <c r="T35" s="390"/>
      <c r="U35" s="390"/>
      <c r="V35" s="390"/>
      <c r="W35" s="381"/>
      <c r="X35" s="381"/>
      <c r="Y35" s="381"/>
      <c r="Z35" s="381"/>
      <c r="AA35" s="381"/>
      <c r="AB35" s="259" t="s">
        <v>215</v>
      </c>
      <c r="AC35" s="325"/>
      <c r="AD35" s="325"/>
      <c r="AE35" s="325"/>
      <c r="AF35" s="325"/>
      <c r="AG35" s="325"/>
      <c r="AH35" s="325"/>
      <c r="AI35" s="325"/>
      <c r="AJ35" s="325"/>
      <c r="AK35" s="325"/>
      <c r="AL35" s="325"/>
      <c r="AM35" s="325"/>
      <c r="AN35" s="325"/>
      <c r="AO35" s="325"/>
      <c r="AP35" s="325"/>
      <c r="AQ35" s="260">
        <f t="shared" si="5"/>
        <v>0</v>
      </c>
      <c r="AR35" s="261">
        <f t="shared" si="5"/>
        <v>0</v>
      </c>
      <c r="AS35" s="6"/>
      <c r="AT35" s="6"/>
      <c r="AU35" s="6"/>
      <c r="AV35" s="6"/>
      <c r="AW35" s="262"/>
      <c r="AX35" s="262"/>
      <c r="AY35" s="262"/>
      <c r="AZ35" s="262"/>
      <c r="BA35" s="262"/>
      <c r="BB35" s="262"/>
      <c r="BF35" s="6"/>
      <c r="BG35" s="6"/>
      <c r="BH35" s="6"/>
      <c r="BI35" s="6"/>
      <c r="BJ35" s="6"/>
      <c r="BK35" s="6"/>
      <c r="BL35" s="6"/>
      <c r="BM35" s="6"/>
      <c r="BN35" s="6"/>
      <c r="BO35" s="6"/>
      <c r="BP35" s="6"/>
      <c r="BQ35" s="6"/>
      <c r="BR35" s="6"/>
      <c r="BS35" s="6"/>
      <c r="BT35" s="6"/>
      <c r="BU35" s="6"/>
      <c r="BV35" s="6"/>
      <c r="BW35" s="6"/>
    </row>
    <row r="36" spans="1:75" s="258" customFormat="1" ht="8.25" customHeight="1" thickBot="1">
      <c r="A36" s="251"/>
      <c r="B36" s="251"/>
      <c r="C36" s="251"/>
      <c r="D36" s="251"/>
      <c r="E36" s="251"/>
      <c r="F36" s="251"/>
      <c r="G36" s="252"/>
      <c r="H36" s="394"/>
      <c r="I36" s="440"/>
      <c r="J36" s="400"/>
      <c r="K36" s="400"/>
      <c r="L36" s="400"/>
      <c r="M36" s="397"/>
      <c r="N36" s="443"/>
      <c r="O36" s="446"/>
      <c r="P36" s="449"/>
      <c r="Q36" s="390"/>
      <c r="R36" s="390"/>
      <c r="S36" s="390"/>
      <c r="T36" s="390"/>
      <c r="U36" s="390"/>
      <c r="V36" s="390"/>
      <c r="W36" s="381"/>
      <c r="X36" s="381"/>
      <c r="Y36" s="381"/>
      <c r="Z36" s="381"/>
      <c r="AA36" s="381"/>
      <c r="AB36" s="259" t="s">
        <v>216</v>
      </c>
      <c r="AC36" s="325"/>
      <c r="AD36" s="325"/>
      <c r="AE36" s="325"/>
      <c r="AF36" s="325"/>
      <c r="AG36" s="325"/>
      <c r="AH36" s="325"/>
      <c r="AI36" s="325"/>
      <c r="AJ36" s="325"/>
      <c r="AK36" s="325"/>
      <c r="AL36" s="325"/>
      <c r="AM36" s="325"/>
      <c r="AN36" s="325"/>
      <c r="AO36" s="325"/>
      <c r="AP36" s="325"/>
      <c r="AQ36" s="260">
        <f t="shared" si="5"/>
        <v>0</v>
      </c>
      <c r="AR36" s="261">
        <f t="shared" si="5"/>
        <v>0</v>
      </c>
      <c r="AS36" s="6"/>
      <c r="AT36" s="6"/>
      <c r="AU36" s="6"/>
      <c r="AV36" s="6"/>
      <c r="AW36" s="262"/>
      <c r="AX36" s="262"/>
      <c r="AY36" s="262"/>
      <c r="AZ36" s="262"/>
      <c r="BA36" s="262"/>
      <c r="BB36" s="262"/>
      <c r="BF36" s="6"/>
      <c r="BG36" s="6"/>
      <c r="BH36" s="6"/>
      <c r="BI36" s="6"/>
      <c r="BJ36" s="6"/>
      <c r="BK36" s="6"/>
      <c r="BL36" s="6"/>
      <c r="BM36" s="6"/>
      <c r="BN36" s="6"/>
      <c r="BO36" s="6"/>
      <c r="BP36" s="6"/>
      <c r="BQ36" s="6"/>
      <c r="BR36" s="6"/>
      <c r="BS36" s="6"/>
      <c r="BT36" s="6"/>
      <c r="BU36" s="6"/>
      <c r="BV36" s="6"/>
      <c r="BW36" s="6"/>
    </row>
    <row r="37" spans="1:75" s="258" customFormat="1" ht="6.75" customHeight="1" hidden="1" thickBot="1">
      <c r="A37" s="251"/>
      <c r="B37" s="251"/>
      <c r="C37" s="251"/>
      <c r="D37" s="251"/>
      <c r="E37" s="251"/>
      <c r="F37" s="251"/>
      <c r="G37" s="252"/>
      <c r="H37" s="394"/>
      <c r="I37" s="440"/>
      <c r="J37" s="400"/>
      <c r="K37" s="400"/>
      <c r="L37" s="400"/>
      <c r="M37" s="397"/>
      <c r="N37" s="443"/>
      <c r="O37" s="446"/>
      <c r="P37" s="449"/>
      <c r="Q37" s="390"/>
      <c r="R37" s="390"/>
      <c r="S37" s="390"/>
      <c r="T37" s="390"/>
      <c r="U37" s="390"/>
      <c r="V37" s="390"/>
      <c r="W37" s="381"/>
      <c r="X37" s="381"/>
      <c r="Y37" s="381"/>
      <c r="Z37" s="381"/>
      <c r="AA37" s="381"/>
      <c r="AB37" s="263" t="s">
        <v>217</v>
      </c>
      <c r="AC37" s="325"/>
      <c r="AD37" s="325"/>
      <c r="AE37" s="325"/>
      <c r="AF37" s="325"/>
      <c r="AG37" s="325"/>
      <c r="AH37" s="325"/>
      <c r="AI37" s="325"/>
      <c r="AJ37" s="325"/>
      <c r="AK37" s="325"/>
      <c r="AL37" s="325"/>
      <c r="AM37" s="325"/>
      <c r="AN37" s="325"/>
      <c r="AO37" s="325"/>
      <c r="AP37" s="325"/>
      <c r="AQ37" s="260">
        <f t="shared" si="5"/>
        <v>0</v>
      </c>
      <c r="AR37" s="261">
        <f t="shared" si="5"/>
        <v>0</v>
      </c>
      <c r="AS37" s="6"/>
      <c r="AT37" s="6"/>
      <c r="AU37" s="6"/>
      <c r="AV37" s="6"/>
      <c r="AW37" s="262"/>
      <c r="AX37" s="262"/>
      <c r="AY37" s="262"/>
      <c r="AZ37" s="262"/>
      <c r="BA37" s="262"/>
      <c r="BB37" s="262"/>
      <c r="BF37" s="6"/>
      <c r="BG37" s="6"/>
      <c r="BH37" s="6"/>
      <c r="BI37" s="6"/>
      <c r="BJ37" s="6"/>
      <c r="BK37" s="6"/>
      <c r="BL37" s="6"/>
      <c r="BM37" s="6"/>
      <c r="BN37" s="6"/>
      <c r="BO37" s="6"/>
      <c r="BP37" s="6"/>
      <c r="BQ37" s="6"/>
      <c r="BR37" s="6"/>
      <c r="BS37" s="6"/>
      <c r="BT37" s="6"/>
      <c r="BU37" s="6"/>
      <c r="BV37" s="6"/>
      <c r="BW37" s="6"/>
    </row>
    <row r="38" spans="1:75" s="258" customFormat="1" ht="14.25" customHeight="1" hidden="1" thickBot="1">
      <c r="A38" s="251"/>
      <c r="B38" s="251"/>
      <c r="C38" s="251"/>
      <c r="D38" s="251"/>
      <c r="E38" s="251"/>
      <c r="F38" s="251"/>
      <c r="G38" s="252"/>
      <c r="H38" s="394"/>
      <c r="I38" s="440"/>
      <c r="J38" s="400"/>
      <c r="K38" s="400"/>
      <c r="L38" s="400"/>
      <c r="M38" s="397"/>
      <c r="N38" s="443"/>
      <c r="O38" s="446"/>
      <c r="P38" s="449"/>
      <c r="Q38" s="390"/>
      <c r="R38" s="390"/>
      <c r="S38" s="390"/>
      <c r="T38" s="390"/>
      <c r="U38" s="390"/>
      <c r="V38" s="390"/>
      <c r="W38" s="381"/>
      <c r="X38" s="381"/>
      <c r="Y38" s="381"/>
      <c r="Z38" s="381"/>
      <c r="AA38" s="381"/>
      <c r="AB38" s="264" t="s">
        <v>218</v>
      </c>
      <c r="AC38" s="265">
        <f aca="true" t="shared" si="6" ref="AC38:AR38">SUM(AC32:AC37)</f>
        <v>0</v>
      </c>
      <c r="AD38" s="265">
        <f t="shared" si="6"/>
        <v>0</v>
      </c>
      <c r="AE38" s="265">
        <f t="shared" si="6"/>
        <v>0</v>
      </c>
      <c r="AF38" s="265">
        <f t="shared" si="6"/>
        <v>0</v>
      </c>
      <c r="AG38" s="265">
        <f t="shared" si="6"/>
        <v>0</v>
      </c>
      <c r="AH38" s="265">
        <f t="shared" si="6"/>
        <v>0</v>
      </c>
      <c r="AI38" s="265">
        <f t="shared" si="6"/>
        <v>0</v>
      </c>
      <c r="AJ38" s="265">
        <f t="shared" si="6"/>
        <v>0</v>
      </c>
      <c r="AK38" s="265">
        <f t="shared" si="6"/>
        <v>0</v>
      </c>
      <c r="AL38" s="265">
        <f t="shared" si="6"/>
        <v>0</v>
      </c>
      <c r="AM38" s="265">
        <f t="shared" si="6"/>
        <v>0</v>
      </c>
      <c r="AN38" s="265">
        <f t="shared" si="6"/>
        <v>0</v>
      </c>
      <c r="AO38" s="265">
        <f t="shared" si="6"/>
        <v>0</v>
      </c>
      <c r="AP38" s="265">
        <f t="shared" si="6"/>
        <v>0</v>
      </c>
      <c r="AQ38" s="265">
        <f t="shared" si="6"/>
        <v>0</v>
      </c>
      <c r="AR38" s="266">
        <f t="shared" si="6"/>
        <v>0</v>
      </c>
      <c r="AS38" s="6"/>
      <c r="AT38" s="6"/>
      <c r="AU38" s="6"/>
      <c r="AV38" s="6"/>
      <c r="AW38" s="262"/>
      <c r="AX38" s="262"/>
      <c r="AY38" s="262"/>
      <c r="AZ38" s="262"/>
      <c r="BA38" s="262"/>
      <c r="BB38" s="262"/>
      <c r="BF38" s="6"/>
      <c r="BG38" s="6"/>
      <c r="BH38" s="6"/>
      <c r="BI38" s="6"/>
      <c r="BJ38" s="6"/>
      <c r="BK38" s="6"/>
      <c r="BL38" s="6"/>
      <c r="BM38" s="6"/>
      <c r="BN38" s="6"/>
      <c r="BO38" s="6"/>
      <c r="BP38" s="6"/>
      <c r="BQ38" s="6"/>
      <c r="BR38" s="6"/>
      <c r="BS38" s="6"/>
      <c r="BT38" s="6"/>
      <c r="BU38" s="6"/>
      <c r="BV38" s="6"/>
      <c r="BW38" s="6"/>
    </row>
    <row r="39" spans="1:75" s="258" customFormat="1" ht="12.75" customHeight="1" hidden="1" thickBot="1">
      <c r="A39" s="251"/>
      <c r="B39" s="251"/>
      <c r="C39" s="251"/>
      <c r="D39" s="251"/>
      <c r="E39" s="251"/>
      <c r="F39" s="251"/>
      <c r="G39" s="252"/>
      <c r="H39" s="394"/>
      <c r="I39" s="440"/>
      <c r="J39" s="400"/>
      <c r="K39" s="400"/>
      <c r="L39" s="400"/>
      <c r="M39" s="397"/>
      <c r="N39" s="443"/>
      <c r="O39" s="446"/>
      <c r="P39" s="449"/>
      <c r="Q39" s="390"/>
      <c r="R39" s="390"/>
      <c r="S39" s="390"/>
      <c r="T39" s="390"/>
      <c r="U39" s="390"/>
      <c r="V39" s="390"/>
      <c r="W39" s="381"/>
      <c r="X39" s="381"/>
      <c r="Y39" s="381"/>
      <c r="Z39" s="381"/>
      <c r="AA39" s="381"/>
      <c r="AB39" s="259" t="s">
        <v>219</v>
      </c>
      <c r="AC39" s="325"/>
      <c r="AD39" s="325"/>
      <c r="AE39" s="325"/>
      <c r="AF39" s="325"/>
      <c r="AG39" s="325"/>
      <c r="AH39" s="325"/>
      <c r="AI39" s="325"/>
      <c r="AJ39" s="325"/>
      <c r="AK39" s="325"/>
      <c r="AL39" s="325"/>
      <c r="AM39" s="325"/>
      <c r="AN39" s="325"/>
      <c r="AO39" s="325"/>
      <c r="AP39" s="325"/>
      <c r="AQ39" s="260">
        <f>+AC39+AE39+AG39+AI39+AK39+AM39+AO39</f>
        <v>0</v>
      </c>
      <c r="AR39" s="261">
        <f aca="true" t="shared" si="7" ref="AR39:AR45">+AD39+AF39+AH39+AJ39+AL39+AN39+AP39</f>
        <v>0</v>
      </c>
      <c r="AS39" s="6"/>
      <c r="AT39" s="6"/>
      <c r="AU39" s="6"/>
      <c r="AV39" s="6"/>
      <c r="AW39" s="262"/>
      <c r="AX39" s="262"/>
      <c r="AY39" s="262"/>
      <c r="AZ39" s="262"/>
      <c r="BA39" s="262"/>
      <c r="BB39" s="262"/>
      <c r="BF39" s="6"/>
      <c r="BG39" s="6"/>
      <c r="BH39" s="6"/>
      <c r="BI39" s="6"/>
      <c r="BJ39" s="6"/>
      <c r="BK39" s="6"/>
      <c r="BL39" s="6"/>
      <c r="BM39" s="6"/>
      <c r="BN39" s="6"/>
      <c r="BO39" s="6"/>
      <c r="BP39" s="6"/>
      <c r="BQ39" s="6"/>
      <c r="BR39" s="6"/>
      <c r="BS39" s="6"/>
      <c r="BT39" s="6"/>
      <c r="BU39" s="6"/>
      <c r="BV39" s="6"/>
      <c r="BW39" s="6"/>
    </row>
    <row r="40" spans="1:75" s="258" customFormat="1" ht="3.75" customHeight="1" hidden="1" thickBot="1">
      <c r="A40" s="251"/>
      <c r="B40" s="251"/>
      <c r="C40" s="251"/>
      <c r="D40" s="251"/>
      <c r="E40" s="251"/>
      <c r="F40" s="251"/>
      <c r="G40" s="252"/>
      <c r="H40" s="394"/>
      <c r="I40" s="440"/>
      <c r="J40" s="400"/>
      <c r="K40" s="400"/>
      <c r="L40" s="400"/>
      <c r="M40" s="397"/>
      <c r="N40" s="443"/>
      <c r="O40" s="446"/>
      <c r="P40" s="449"/>
      <c r="Q40" s="390"/>
      <c r="R40" s="390"/>
      <c r="S40" s="390"/>
      <c r="T40" s="390"/>
      <c r="U40" s="390"/>
      <c r="V40" s="390"/>
      <c r="W40" s="381"/>
      <c r="X40" s="381"/>
      <c r="Y40" s="381"/>
      <c r="Z40" s="381"/>
      <c r="AA40" s="381"/>
      <c r="AB40" s="259" t="s">
        <v>288</v>
      </c>
      <c r="AC40" s="325"/>
      <c r="AD40" s="325"/>
      <c r="AE40" s="325"/>
      <c r="AF40" s="325"/>
      <c r="AG40" s="325"/>
      <c r="AH40" s="325"/>
      <c r="AI40" s="325"/>
      <c r="AJ40" s="325"/>
      <c r="AK40" s="325"/>
      <c r="AL40" s="325"/>
      <c r="AM40" s="325"/>
      <c r="AN40" s="325"/>
      <c r="AO40" s="325"/>
      <c r="AP40" s="325"/>
      <c r="AQ40" s="260">
        <f aca="true" t="shared" si="8" ref="AQ40:AQ45">+AC40+AE40+AG40+AI40+AK40+AM40+AO40</f>
        <v>0</v>
      </c>
      <c r="AR40" s="261">
        <f t="shared" si="7"/>
        <v>0</v>
      </c>
      <c r="AS40" s="6"/>
      <c r="AT40" s="6"/>
      <c r="AU40" s="6"/>
      <c r="AV40" s="6"/>
      <c r="AW40" s="262"/>
      <c r="AX40" s="262"/>
      <c r="AY40" s="262"/>
      <c r="AZ40" s="262"/>
      <c r="BA40" s="262"/>
      <c r="BB40" s="262"/>
      <c r="BF40" s="6"/>
      <c r="BG40" s="6"/>
      <c r="BH40" s="6"/>
      <c r="BI40" s="6"/>
      <c r="BJ40" s="6"/>
      <c r="BK40" s="6"/>
      <c r="BL40" s="6"/>
      <c r="BM40" s="6"/>
      <c r="BN40" s="6"/>
      <c r="BO40" s="6"/>
      <c r="BP40" s="6"/>
      <c r="BQ40" s="6"/>
      <c r="BR40" s="6"/>
      <c r="BS40" s="6"/>
      <c r="BT40" s="6"/>
      <c r="BU40" s="6"/>
      <c r="BV40" s="6"/>
      <c r="BW40" s="6"/>
    </row>
    <row r="41" spans="1:75" s="258" customFormat="1" ht="14.25" customHeight="1" hidden="1" thickBot="1">
      <c r="A41" s="251"/>
      <c r="B41" s="251"/>
      <c r="C41" s="251"/>
      <c r="D41" s="251"/>
      <c r="E41" s="251"/>
      <c r="F41" s="251"/>
      <c r="G41" s="252"/>
      <c r="H41" s="394"/>
      <c r="I41" s="440"/>
      <c r="J41" s="400"/>
      <c r="K41" s="400"/>
      <c r="L41" s="400"/>
      <c r="M41" s="397"/>
      <c r="N41" s="443"/>
      <c r="O41" s="446"/>
      <c r="P41" s="449"/>
      <c r="Q41" s="390"/>
      <c r="R41" s="390"/>
      <c r="S41" s="390"/>
      <c r="T41" s="390"/>
      <c r="U41" s="390"/>
      <c r="V41" s="390"/>
      <c r="W41" s="381"/>
      <c r="X41" s="381"/>
      <c r="Y41" s="381"/>
      <c r="Z41" s="381"/>
      <c r="AA41" s="381"/>
      <c r="AB41" s="263" t="s">
        <v>221</v>
      </c>
      <c r="AC41" s="325"/>
      <c r="AD41" s="325"/>
      <c r="AE41" s="325"/>
      <c r="AF41" s="325"/>
      <c r="AG41" s="325"/>
      <c r="AH41" s="325"/>
      <c r="AI41" s="325"/>
      <c r="AJ41" s="325"/>
      <c r="AK41" s="325"/>
      <c r="AL41" s="325"/>
      <c r="AM41" s="325"/>
      <c r="AN41" s="325"/>
      <c r="AO41" s="325"/>
      <c r="AP41" s="325"/>
      <c r="AQ41" s="260">
        <f t="shared" si="8"/>
        <v>0</v>
      </c>
      <c r="AR41" s="261">
        <f t="shared" si="7"/>
        <v>0</v>
      </c>
      <c r="AS41" s="6"/>
      <c r="AT41" s="6"/>
      <c r="AU41" s="6"/>
      <c r="AV41" s="6"/>
      <c r="AW41" s="262"/>
      <c r="AX41" s="262"/>
      <c r="AY41" s="262"/>
      <c r="AZ41" s="262"/>
      <c r="BA41" s="262"/>
      <c r="BB41" s="262"/>
      <c r="BF41" s="6"/>
      <c r="BG41" s="6"/>
      <c r="BH41" s="6"/>
      <c r="BI41" s="6"/>
      <c r="BJ41" s="6"/>
      <c r="BK41" s="6"/>
      <c r="BL41" s="6"/>
      <c r="BM41" s="6"/>
      <c r="BN41" s="6"/>
      <c r="BO41" s="6"/>
      <c r="BP41" s="6"/>
      <c r="BQ41" s="6"/>
      <c r="BR41" s="6"/>
      <c r="BS41" s="6"/>
      <c r="BT41" s="6"/>
      <c r="BU41" s="6"/>
      <c r="BV41" s="6"/>
      <c r="BW41" s="6"/>
    </row>
    <row r="42" spans="1:75" s="258" customFormat="1" ht="14.25" customHeight="1" hidden="1" thickBot="1">
      <c r="A42" s="251"/>
      <c r="B42" s="251"/>
      <c r="C42" s="251"/>
      <c r="D42" s="251"/>
      <c r="E42" s="251"/>
      <c r="F42" s="251"/>
      <c r="G42" s="252"/>
      <c r="H42" s="394"/>
      <c r="I42" s="440"/>
      <c r="J42" s="400"/>
      <c r="K42" s="400"/>
      <c r="L42" s="400"/>
      <c r="M42" s="397"/>
      <c r="N42" s="443"/>
      <c r="O42" s="446"/>
      <c r="P42" s="449"/>
      <c r="Q42" s="390"/>
      <c r="R42" s="390"/>
      <c r="S42" s="390"/>
      <c r="T42" s="390"/>
      <c r="U42" s="390"/>
      <c r="V42" s="390"/>
      <c r="W42" s="381"/>
      <c r="X42" s="381"/>
      <c r="Y42" s="381"/>
      <c r="Z42" s="381"/>
      <c r="AA42" s="381"/>
      <c r="AB42" s="263" t="s">
        <v>222</v>
      </c>
      <c r="AC42" s="325"/>
      <c r="AD42" s="325"/>
      <c r="AE42" s="325"/>
      <c r="AF42" s="325"/>
      <c r="AG42" s="325"/>
      <c r="AH42" s="325"/>
      <c r="AI42" s="325"/>
      <c r="AJ42" s="325"/>
      <c r="AK42" s="325"/>
      <c r="AL42" s="325"/>
      <c r="AM42" s="325"/>
      <c r="AN42" s="325"/>
      <c r="AO42" s="325"/>
      <c r="AP42" s="325"/>
      <c r="AQ42" s="260">
        <f t="shared" si="8"/>
        <v>0</v>
      </c>
      <c r="AR42" s="261">
        <f t="shared" si="7"/>
        <v>0</v>
      </c>
      <c r="AS42" s="6"/>
      <c r="AT42" s="6"/>
      <c r="AU42" s="6"/>
      <c r="AV42" s="6"/>
      <c r="AW42" s="262"/>
      <c r="AX42" s="262"/>
      <c r="AY42" s="262"/>
      <c r="AZ42" s="262"/>
      <c r="BA42" s="262"/>
      <c r="BB42" s="262"/>
      <c r="BF42" s="6"/>
      <c r="BG42" s="6"/>
      <c r="BH42" s="6"/>
      <c r="BI42" s="6"/>
      <c r="BJ42" s="6"/>
      <c r="BK42" s="6"/>
      <c r="BL42" s="6"/>
      <c r="BM42" s="6"/>
      <c r="BN42" s="6"/>
      <c r="BO42" s="6"/>
      <c r="BP42" s="6"/>
      <c r="BQ42" s="6"/>
      <c r="BR42" s="6"/>
      <c r="BS42" s="6"/>
      <c r="BT42" s="6"/>
      <c r="BU42" s="6"/>
      <c r="BV42" s="6"/>
      <c r="BW42" s="6"/>
    </row>
    <row r="43" spans="1:75" s="258" customFormat="1" ht="14.25" customHeight="1" hidden="1" thickBot="1">
      <c r="A43" s="251"/>
      <c r="B43" s="251"/>
      <c r="C43" s="251"/>
      <c r="D43" s="251"/>
      <c r="E43" s="251"/>
      <c r="F43" s="251"/>
      <c r="G43" s="252"/>
      <c r="H43" s="394"/>
      <c r="I43" s="440"/>
      <c r="J43" s="400"/>
      <c r="K43" s="400"/>
      <c r="L43" s="400"/>
      <c r="M43" s="397"/>
      <c r="N43" s="443"/>
      <c r="O43" s="446"/>
      <c r="P43" s="449"/>
      <c r="Q43" s="390"/>
      <c r="R43" s="390"/>
      <c r="S43" s="390"/>
      <c r="T43" s="390"/>
      <c r="U43" s="390"/>
      <c r="V43" s="390"/>
      <c r="W43" s="381"/>
      <c r="X43" s="381"/>
      <c r="Y43" s="381"/>
      <c r="Z43" s="381"/>
      <c r="AA43" s="381"/>
      <c r="AB43" s="263" t="s">
        <v>223</v>
      </c>
      <c r="AC43" s="325"/>
      <c r="AD43" s="325"/>
      <c r="AE43" s="325"/>
      <c r="AF43" s="325"/>
      <c r="AG43" s="325"/>
      <c r="AH43" s="325"/>
      <c r="AI43" s="325"/>
      <c r="AJ43" s="325"/>
      <c r="AK43" s="325"/>
      <c r="AL43" s="325"/>
      <c r="AM43" s="325"/>
      <c r="AN43" s="325"/>
      <c r="AO43" s="325"/>
      <c r="AP43" s="325"/>
      <c r="AQ43" s="260">
        <f t="shared" si="8"/>
        <v>0</v>
      </c>
      <c r="AR43" s="261">
        <f t="shared" si="7"/>
        <v>0</v>
      </c>
      <c r="AS43" s="6"/>
      <c r="AT43" s="6"/>
      <c r="AU43" s="6"/>
      <c r="AV43" s="6"/>
      <c r="AW43" s="262"/>
      <c r="AX43" s="262"/>
      <c r="AY43" s="262"/>
      <c r="AZ43" s="262"/>
      <c r="BA43" s="262"/>
      <c r="BB43" s="262"/>
      <c r="BF43" s="6"/>
      <c r="BG43" s="6"/>
      <c r="BH43" s="6"/>
      <c r="BI43" s="6"/>
      <c r="BJ43" s="6"/>
      <c r="BK43" s="6"/>
      <c r="BL43" s="6"/>
      <c r="BM43" s="6"/>
      <c r="BN43" s="6"/>
      <c r="BO43" s="6"/>
      <c r="BP43" s="6"/>
      <c r="BQ43" s="6"/>
      <c r="BR43" s="6"/>
      <c r="BS43" s="6"/>
      <c r="BT43" s="6"/>
      <c r="BU43" s="6"/>
      <c r="BV43" s="6"/>
      <c r="BW43" s="6"/>
    </row>
    <row r="44" spans="1:75" s="258" customFormat="1" ht="14.25" customHeight="1" hidden="1" thickBot="1">
      <c r="A44" s="251"/>
      <c r="B44" s="251"/>
      <c r="C44" s="251"/>
      <c r="D44" s="251"/>
      <c r="E44" s="251"/>
      <c r="F44" s="251"/>
      <c r="G44" s="252"/>
      <c r="H44" s="394"/>
      <c r="I44" s="440"/>
      <c r="J44" s="400"/>
      <c r="K44" s="400"/>
      <c r="L44" s="400"/>
      <c r="M44" s="397"/>
      <c r="N44" s="443"/>
      <c r="O44" s="446"/>
      <c r="P44" s="449"/>
      <c r="Q44" s="390"/>
      <c r="R44" s="390"/>
      <c r="S44" s="390"/>
      <c r="T44" s="390"/>
      <c r="U44" s="390"/>
      <c r="V44" s="390"/>
      <c r="W44" s="381"/>
      <c r="X44" s="381"/>
      <c r="Y44" s="381"/>
      <c r="Z44" s="381"/>
      <c r="AA44" s="381"/>
      <c r="AB44" s="263" t="s">
        <v>224</v>
      </c>
      <c r="AC44" s="325"/>
      <c r="AD44" s="325"/>
      <c r="AE44" s="325"/>
      <c r="AF44" s="325"/>
      <c r="AG44" s="325"/>
      <c r="AH44" s="325"/>
      <c r="AI44" s="325"/>
      <c r="AJ44" s="325"/>
      <c r="AK44" s="325"/>
      <c r="AL44" s="325"/>
      <c r="AM44" s="325"/>
      <c r="AN44" s="325"/>
      <c r="AO44" s="325"/>
      <c r="AP44" s="325"/>
      <c r="AQ44" s="260">
        <f t="shared" si="8"/>
        <v>0</v>
      </c>
      <c r="AR44" s="261">
        <f t="shared" si="7"/>
        <v>0</v>
      </c>
      <c r="AS44" s="6"/>
      <c r="AT44" s="6"/>
      <c r="AU44" s="6"/>
      <c r="AV44" s="6"/>
      <c r="AW44" s="262"/>
      <c r="AX44" s="262"/>
      <c r="AY44" s="262"/>
      <c r="AZ44" s="262"/>
      <c r="BA44" s="262"/>
      <c r="BB44" s="262"/>
      <c r="BF44" s="6"/>
      <c r="BG44" s="6"/>
      <c r="BH44" s="6"/>
      <c r="BI44" s="6"/>
      <c r="BJ44" s="6"/>
      <c r="BK44" s="6"/>
      <c r="BL44" s="6"/>
      <c r="BM44" s="6"/>
      <c r="BN44" s="6"/>
      <c r="BO44" s="6"/>
      <c r="BP44" s="6"/>
      <c r="BQ44" s="6"/>
      <c r="BR44" s="6"/>
      <c r="BS44" s="6"/>
      <c r="BT44" s="6"/>
      <c r="BU44" s="6"/>
      <c r="BV44" s="6"/>
      <c r="BW44" s="6"/>
    </row>
    <row r="45" spans="1:75" s="258" customFormat="1" ht="14.25" customHeight="1" hidden="1" thickBot="1">
      <c r="A45" s="251"/>
      <c r="B45" s="251"/>
      <c r="C45" s="251"/>
      <c r="D45" s="251"/>
      <c r="E45" s="251"/>
      <c r="F45" s="251"/>
      <c r="G45" s="252"/>
      <c r="H45" s="394"/>
      <c r="I45" s="440"/>
      <c r="J45" s="400"/>
      <c r="K45" s="400"/>
      <c r="L45" s="400"/>
      <c r="M45" s="397"/>
      <c r="N45" s="443"/>
      <c r="O45" s="446"/>
      <c r="P45" s="449"/>
      <c r="Q45" s="390"/>
      <c r="R45" s="390"/>
      <c r="S45" s="390"/>
      <c r="T45" s="390"/>
      <c r="U45" s="390"/>
      <c r="V45" s="390"/>
      <c r="W45" s="381"/>
      <c r="X45" s="381"/>
      <c r="Y45" s="381"/>
      <c r="Z45" s="381"/>
      <c r="AA45" s="381"/>
      <c r="AB45" s="263" t="s">
        <v>225</v>
      </c>
      <c r="AC45" s="325"/>
      <c r="AD45" s="325"/>
      <c r="AE45" s="325"/>
      <c r="AF45" s="325"/>
      <c r="AG45" s="325"/>
      <c r="AH45" s="325"/>
      <c r="AI45" s="325"/>
      <c r="AJ45" s="325"/>
      <c r="AK45" s="325"/>
      <c r="AL45" s="325"/>
      <c r="AM45" s="325"/>
      <c r="AN45" s="325"/>
      <c r="AO45" s="325"/>
      <c r="AP45" s="325"/>
      <c r="AQ45" s="260">
        <f t="shared" si="8"/>
        <v>0</v>
      </c>
      <c r="AR45" s="261">
        <f t="shared" si="7"/>
        <v>0</v>
      </c>
      <c r="AS45" s="6"/>
      <c r="AT45" s="6"/>
      <c r="AU45" s="6"/>
      <c r="AV45" s="6"/>
      <c r="AW45" s="262"/>
      <c r="AX45" s="262"/>
      <c r="AY45" s="262"/>
      <c r="AZ45" s="262"/>
      <c r="BA45" s="262"/>
      <c r="BB45" s="262"/>
      <c r="BF45" s="6"/>
      <c r="BG45" s="6"/>
      <c r="BH45" s="6"/>
      <c r="BI45" s="6"/>
      <c r="BJ45" s="6"/>
      <c r="BK45" s="6"/>
      <c r="BL45" s="6"/>
      <c r="BM45" s="6"/>
      <c r="BN45" s="6"/>
      <c r="BO45" s="6"/>
      <c r="BP45" s="6"/>
      <c r="BQ45" s="6"/>
      <c r="BR45" s="6"/>
      <c r="BS45" s="6"/>
      <c r="BT45" s="6"/>
      <c r="BU45" s="6"/>
      <c r="BV45" s="6"/>
      <c r="BW45" s="6"/>
    </row>
    <row r="46" spans="1:75" s="258" customFormat="1" ht="14.25" customHeight="1" hidden="1" thickBot="1">
      <c r="A46" s="251"/>
      <c r="B46" s="251"/>
      <c r="C46" s="251"/>
      <c r="D46" s="251"/>
      <c r="E46" s="251"/>
      <c r="F46" s="251"/>
      <c r="G46" s="252"/>
      <c r="H46" s="394"/>
      <c r="I46" s="440"/>
      <c r="J46" s="400"/>
      <c r="K46" s="400"/>
      <c r="L46" s="400"/>
      <c r="M46" s="397"/>
      <c r="N46" s="443"/>
      <c r="O46" s="446"/>
      <c r="P46" s="449"/>
      <c r="Q46" s="390"/>
      <c r="R46" s="390"/>
      <c r="S46" s="390"/>
      <c r="T46" s="390"/>
      <c r="U46" s="390"/>
      <c r="V46" s="390"/>
      <c r="W46" s="381"/>
      <c r="X46" s="381"/>
      <c r="Y46" s="381"/>
      <c r="Z46" s="381"/>
      <c r="AA46" s="381"/>
      <c r="AB46" s="264" t="s">
        <v>289</v>
      </c>
      <c r="AC46" s="265">
        <f aca="true" t="shared" si="9" ref="AC46:AR46">SUM(AC40:AC45)+IF(AC38=0,AC39,AC38)</f>
        <v>0</v>
      </c>
      <c r="AD46" s="265">
        <f t="shared" si="9"/>
        <v>0</v>
      </c>
      <c r="AE46" s="265">
        <f t="shared" si="9"/>
        <v>0</v>
      </c>
      <c r="AF46" s="265">
        <f t="shared" si="9"/>
        <v>0</v>
      </c>
      <c r="AG46" s="265">
        <f t="shared" si="9"/>
        <v>0</v>
      </c>
      <c r="AH46" s="265">
        <f t="shared" si="9"/>
        <v>0</v>
      </c>
      <c r="AI46" s="265">
        <f t="shared" si="9"/>
        <v>0</v>
      </c>
      <c r="AJ46" s="265">
        <f t="shared" si="9"/>
        <v>0</v>
      </c>
      <c r="AK46" s="265">
        <f t="shared" si="9"/>
        <v>0</v>
      </c>
      <c r="AL46" s="265">
        <f t="shared" si="9"/>
        <v>0</v>
      </c>
      <c r="AM46" s="265">
        <f t="shared" si="9"/>
        <v>0</v>
      </c>
      <c r="AN46" s="265">
        <f t="shared" si="9"/>
        <v>0</v>
      </c>
      <c r="AO46" s="265">
        <f t="shared" si="9"/>
        <v>0</v>
      </c>
      <c r="AP46" s="265">
        <f t="shared" si="9"/>
        <v>0</v>
      </c>
      <c r="AQ46" s="265">
        <f t="shared" si="9"/>
        <v>0</v>
      </c>
      <c r="AR46" s="266">
        <f t="shared" si="9"/>
        <v>0</v>
      </c>
      <c r="AS46" s="6"/>
      <c r="AT46" s="6"/>
      <c r="AU46" s="6"/>
      <c r="AV46" s="6"/>
      <c r="AW46" s="262"/>
      <c r="AX46" s="262"/>
      <c r="AY46" s="262"/>
      <c r="AZ46" s="262"/>
      <c r="BA46" s="262"/>
      <c r="BB46" s="262"/>
      <c r="BF46" s="6"/>
      <c r="BG46" s="6"/>
      <c r="BH46" s="6"/>
      <c r="BI46" s="6"/>
      <c r="BJ46" s="6"/>
      <c r="BK46" s="6"/>
      <c r="BL46" s="6"/>
      <c r="BM46" s="6"/>
      <c r="BN46" s="6"/>
      <c r="BO46" s="6"/>
      <c r="BP46" s="6"/>
      <c r="BQ46" s="6"/>
      <c r="BR46" s="6"/>
      <c r="BS46" s="6"/>
      <c r="BT46" s="6"/>
      <c r="BU46" s="6"/>
      <c r="BV46" s="6"/>
      <c r="BW46" s="6"/>
    </row>
    <row r="47" spans="1:75" s="258" customFormat="1" ht="96.75" customHeight="1" hidden="1" thickBot="1">
      <c r="A47" s="251"/>
      <c r="B47" s="251"/>
      <c r="C47" s="251"/>
      <c r="D47" s="251"/>
      <c r="E47" s="251"/>
      <c r="F47" s="251"/>
      <c r="G47" s="252"/>
      <c r="H47" s="395"/>
      <c r="I47" s="441"/>
      <c r="J47" s="401"/>
      <c r="K47" s="401"/>
      <c r="L47" s="401"/>
      <c r="M47" s="398"/>
      <c r="N47" s="444"/>
      <c r="O47" s="447"/>
      <c r="P47" s="450"/>
      <c r="Q47" s="391"/>
      <c r="R47" s="391"/>
      <c r="S47" s="391"/>
      <c r="T47" s="391"/>
      <c r="U47" s="391"/>
      <c r="V47" s="391"/>
      <c r="W47" s="382"/>
      <c r="X47" s="382"/>
      <c r="Y47" s="382"/>
      <c r="Z47" s="382"/>
      <c r="AA47" s="382"/>
      <c r="AB47" s="267" t="s">
        <v>290</v>
      </c>
      <c r="AC47" s="326"/>
      <c r="AD47" s="326"/>
      <c r="AE47" s="326"/>
      <c r="AF47" s="326"/>
      <c r="AG47" s="326"/>
      <c r="AH47" s="326"/>
      <c r="AI47" s="326"/>
      <c r="AJ47" s="326"/>
      <c r="AK47" s="326"/>
      <c r="AL47" s="326"/>
      <c r="AM47" s="326"/>
      <c r="AN47" s="326"/>
      <c r="AO47" s="326"/>
      <c r="AP47" s="326"/>
      <c r="AQ47" s="268">
        <f aca="true" t="shared" si="10" ref="AQ47:AR53">+AC47+AE47+AG47+AI47+AK47+AM47+AO47</f>
        <v>0</v>
      </c>
      <c r="AR47" s="269">
        <f t="shared" si="10"/>
        <v>0</v>
      </c>
      <c r="AS47" s="6"/>
      <c r="AT47" s="6"/>
      <c r="AU47" s="6"/>
      <c r="AV47" s="6"/>
      <c r="AW47" s="262"/>
      <c r="AX47" s="262"/>
      <c r="AY47" s="262"/>
      <c r="AZ47" s="262"/>
      <c r="BA47" s="262"/>
      <c r="BB47" s="262"/>
      <c r="BF47" s="6"/>
      <c r="BG47" s="6"/>
      <c r="BH47" s="6"/>
      <c r="BI47" s="6"/>
      <c r="BJ47" s="6"/>
      <c r="BK47" s="6"/>
      <c r="BL47" s="6"/>
      <c r="BM47" s="6"/>
      <c r="BN47" s="6"/>
      <c r="BO47" s="6"/>
      <c r="BP47" s="6"/>
      <c r="BQ47" s="6"/>
      <c r="BR47" s="6"/>
      <c r="BS47" s="6"/>
      <c r="BT47" s="6"/>
      <c r="BU47" s="6"/>
      <c r="BV47" s="6"/>
      <c r="BW47" s="6"/>
    </row>
    <row r="48" spans="1:75" s="258" customFormat="1" ht="14.25" customHeight="1">
      <c r="A48" s="251" t="s">
        <v>263</v>
      </c>
      <c r="B48" s="251" t="s">
        <v>264</v>
      </c>
      <c r="C48" s="251" t="s">
        <v>202</v>
      </c>
      <c r="D48" s="251" t="s">
        <v>203</v>
      </c>
      <c r="E48" s="251" t="s">
        <v>204</v>
      </c>
      <c r="F48" s="251" t="s">
        <v>265</v>
      </c>
      <c r="G48" s="252">
        <v>7</v>
      </c>
      <c r="H48" s="393">
        <v>886</v>
      </c>
      <c r="I48" s="439" t="s">
        <v>46</v>
      </c>
      <c r="J48" s="414"/>
      <c r="K48" s="399" t="s">
        <v>26</v>
      </c>
      <c r="L48" s="270"/>
      <c r="M48" s="442">
        <v>0</v>
      </c>
      <c r="N48" s="442" t="s">
        <v>296</v>
      </c>
      <c r="O48" s="402">
        <v>1</v>
      </c>
      <c r="P48" s="402">
        <v>0.54</v>
      </c>
      <c r="Q48" s="389">
        <f>SUMIF('Actividades inversión 886'!$B$13:$B$35,'Metas inversión 886'!$B48,'Actividades inversión 886'!M$13:M$35)</f>
        <v>2548412860</v>
      </c>
      <c r="R48" s="389">
        <f>SUMIF('Actividades inversión 886'!$B$13:$B$35,'Metas inversión 886'!$B48,'Actividades inversión 886'!N$13:N$35)</f>
        <v>3042983800</v>
      </c>
      <c r="S48" s="389">
        <f>SUMIF('Actividades inversión 886'!$B$13:$B$35,'Metas inversión 886'!$B48,'Actividades inversión 886'!O$13:O$35)</f>
        <v>2544649720</v>
      </c>
      <c r="T48" s="389">
        <f>SUMIF('Actividades inversión 886'!$B$13:$B$35,'Metas inversión 886'!$B48,'Actividades inversión 886'!P$13:P$35)</f>
        <v>564731007</v>
      </c>
      <c r="U48" s="389">
        <f>SUMIF('Actividades inversión 886'!$B$13:$B$35,'Metas inversión 886'!$B48,'Actividades inversión 886'!Q$13:Q$35)</f>
        <v>236973479</v>
      </c>
      <c r="V48" s="389">
        <f>SUMIF('Actividades inversión 886'!$B$13:$B$35,'Metas inversión 886'!$B48,'Actividades inversión 886'!R$13:R$35)</f>
        <v>197460419</v>
      </c>
      <c r="W48" s="408" t="s">
        <v>297</v>
      </c>
      <c r="X48" s="408" t="s">
        <v>298</v>
      </c>
      <c r="Y48" s="408" t="s">
        <v>299</v>
      </c>
      <c r="Z48" s="380"/>
      <c r="AA48" s="436"/>
      <c r="AB48" s="253" t="s">
        <v>287</v>
      </c>
      <c r="AC48" s="327"/>
      <c r="AD48" s="327"/>
      <c r="AE48" s="327"/>
      <c r="AF48" s="327"/>
      <c r="AG48" s="327"/>
      <c r="AH48" s="327"/>
      <c r="AI48" s="327"/>
      <c r="AJ48" s="327"/>
      <c r="AK48" s="327"/>
      <c r="AL48" s="327"/>
      <c r="AM48" s="327"/>
      <c r="AN48" s="327"/>
      <c r="AO48" s="327"/>
      <c r="AP48" s="327"/>
      <c r="AQ48" s="254">
        <f t="shared" si="10"/>
        <v>0</v>
      </c>
      <c r="AR48" s="255">
        <f t="shared" si="10"/>
        <v>0</v>
      </c>
      <c r="AS48" s="6"/>
      <c r="AT48" s="6"/>
      <c r="AU48" s="6"/>
      <c r="AV48" s="6"/>
      <c r="AW48" s="262">
        <f>+'[6]99-METROPOLITANO'!N46</f>
        <v>2548412860</v>
      </c>
      <c r="AX48" s="262">
        <f>+'[6]99-METROPOLITANO'!O46</f>
        <v>3042983800</v>
      </c>
      <c r="AY48" s="262">
        <f>+'[6]99-METROPOLITANO'!P46</f>
        <v>2544649720</v>
      </c>
      <c r="AZ48" s="262">
        <f>+'[6]99-METROPOLITANO'!Q46</f>
        <v>564731007</v>
      </c>
      <c r="BA48" s="262">
        <f>+'[6]99-METROPOLITANO'!R46</f>
        <v>236973479</v>
      </c>
      <c r="BB48" s="262">
        <f>+'[6]99-METROPOLITANO'!S46</f>
        <v>197460419</v>
      </c>
      <c r="BF48" s="6"/>
      <c r="BG48" s="6"/>
      <c r="BH48" s="6"/>
      <c r="BI48" s="6"/>
      <c r="BJ48" s="6"/>
      <c r="BK48" s="6"/>
      <c r="BL48" s="6"/>
      <c r="BM48" s="6"/>
      <c r="BN48" s="6"/>
      <c r="BO48" s="6"/>
      <c r="BP48" s="6"/>
      <c r="BQ48" s="6"/>
      <c r="BR48" s="6"/>
      <c r="BS48" s="6"/>
      <c r="BT48" s="6"/>
      <c r="BU48" s="6"/>
      <c r="BV48" s="6"/>
      <c r="BW48" s="6"/>
    </row>
    <row r="49" spans="1:75" s="258" customFormat="1" ht="14.25" customHeight="1">
      <c r="A49" s="251"/>
      <c r="B49" s="251"/>
      <c r="C49" s="251"/>
      <c r="D49" s="251"/>
      <c r="E49" s="251"/>
      <c r="F49" s="251"/>
      <c r="G49" s="252"/>
      <c r="H49" s="394"/>
      <c r="I49" s="440"/>
      <c r="J49" s="400"/>
      <c r="K49" s="400"/>
      <c r="L49" s="271"/>
      <c r="M49" s="443"/>
      <c r="N49" s="443"/>
      <c r="O49" s="403"/>
      <c r="P49" s="403"/>
      <c r="Q49" s="390"/>
      <c r="R49" s="390"/>
      <c r="S49" s="390"/>
      <c r="T49" s="390"/>
      <c r="U49" s="390"/>
      <c r="V49" s="390"/>
      <c r="W49" s="381"/>
      <c r="X49" s="434"/>
      <c r="Y49" s="434"/>
      <c r="Z49" s="381"/>
      <c r="AA49" s="437"/>
      <c r="AB49" s="259" t="s">
        <v>213</v>
      </c>
      <c r="AC49" s="325"/>
      <c r="AD49" s="325"/>
      <c r="AE49" s="325"/>
      <c r="AF49" s="325"/>
      <c r="AG49" s="325"/>
      <c r="AH49" s="325"/>
      <c r="AI49" s="325"/>
      <c r="AJ49" s="325"/>
      <c r="AK49" s="325"/>
      <c r="AL49" s="325"/>
      <c r="AM49" s="325"/>
      <c r="AN49" s="325"/>
      <c r="AO49" s="325"/>
      <c r="AP49" s="325"/>
      <c r="AQ49" s="260">
        <f t="shared" si="10"/>
        <v>0</v>
      </c>
      <c r="AR49" s="261">
        <f t="shared" si="10"/>
        <v>0</v>
      </c>
      <c r="AS49" s="6"/>
      <c r="AT49" s="6"/>
      <c r="AU49" s="6"/>
      <c r="AV49" s="6"/>
      <c r="AW49" s="262"/>
      <c r="AX49" s="262"/>
      <c r="AY49" s="262"/>
      <c r="AZ49" s="262"/>
      <c r="BA49" s="262"/>
      <c r="BB49" s="262"/>
      <c r="BF49" s="6"/>
      <c r="BG49" s="6"/>
      <c r="BH49" s="6"/>
      <c r="BI49" s="6"/>
      <c r="BJ49" s="6"/>
      <c r="BK49" s="6"/>
      <c r="BL49" s="6"/>
      <c r="BM49" s="6"/>
      <c r="BN49" s="6"/>
      <c r="BO49" s="6"/>
      <c r="BP49" s="6"/>
      <c r="BQ49" s="6"/>
      <c r="BR49" s="6"/>
      <c r="BS49" s="6"/>
      <c r="BT49" s="6"/>
      <c r="BU49" s="6"/>
      <c r="BV49" s="6"/>
      <c r="BW49" s="6"/>
    </row>
    <row r="50" spans="1:75" s="258" customFormat="1" ht="14.25" customHeight="1">
      <c r="A50" s="251"/>
      <c r="B50" s="251"/>
      <c r="C50" s="251"/>
      <c r="D50" s="251"/>
      <c r="E50" s="251"/>
      <c r="F50" s="251"/>
      <c r="G50" s="252"/>
      <c r="H50" s="394"/>
      <c r="I50" s="440"/>
      <c r="J50" s="400"/>
      <c r="K50" s="400"/>
      <c r="L50" s="271"/>
      <c r="M50" s="443"/>
      <c r="N50" s="443"/>
      <c r="O50" s="403"/>
      <c r="P50" s="403"/>
      <c r="Q50" s="390"/>
      <c r="R50" s="390"/>
      <c r="S50" s="390"/>
      <c r="T50" s="390"/>
      <c r="U50" s="390"/>
      <c r="V50" s="390"/>
      <c r="W50" s="381"/>
      <c r="X50" s="434"/>
      <c r="Y50" s="434"/>
      <c r="Z50" s="381"/>
      <c r="AA50" s="437"/>
      <c r="AB50" s="259" t="s">
        <v>214</v>
      </c>
      <c r="AC50" s="325"/>
      <c r="AD50" s="325"/>
      <c r="AE50" s="325"/>
      <c r="AF50" s="325"/>
      <c r="AG50" s="325"/>
      <c r="AH50" s="325"/>
      <c r="AI50" s="325"/>
      <c r="AJ50" s="325"/>
      <c r="AK50" s="325"/>
      <c r="AL50" s="325"/>
      <c r="AM50" s="325"/>
      <c r="AN50" s="325"/>
      <c r="AO50" s="325"/>
      <c r="AP50" s="325"/>
      <c r="AQ50" s="260">
        <f t="shared" si="10"/>
        <v>0</v>
      </c>
      <c r="AR50" s="261">
        <f t="shared" si="10"/>
        <v>0</v>
      </c>
      <c r="AS50" s="6"/>
      <c r="AT50" s="6"/>
      <c r="AU50" s="6"/>
      <c r="AV50" s="6"/>
      <c r="AW50" s="262"/>
      <c r="AX50" s="262"/>
      <c r="AY50" s="262"/>
      <c r="AZ50" s="262"/>
      <c r="BA50" s="262"/>
      <c r="BB50" s="262"/>
      <c r="BF50" s="6"/>
      <c r="BG50" s="6"/>
      <c r="BH50" s="6"/>
      <c r="BI50" s="6"/>
      <c r="BJ50" s="6"/>
      <c r="BK50" s="6"/>
      <c r="BL50" s="6"/>
      <c r="BM50" s="6"/>
      <c r="BN50" s="6"/>
      <c r="BO50" s="6"/>
      <c r="BP50" s="6"/>
      <c r="BQ50" s="6"/>
      <c r="BR50" s="6"/>
      <c r="BS50" s="6"/>
      <c r="BT50" s="6"/>
      <c r="BU50" s="6"/>
      <c r="BV50" s="6"/>
      <c r="BW50" s="6"/>
    </row>
    <row r="51" spans="1:75" s="258" customFormat="1" ht="3" customHeight="1">
      <c r="A51" s="251"/>
      <c r="B51" s="251"/>
      <c r="C51" s="251"/>
      <c r="D51" s="251"/>
      <c r="E51" s="251"/>
      <c r="F51" s="251"/>
      <c r="G51" s="252"/>
      <c r="H51" s="394"/>
      <c r="I51" s="440"/>
      <c r="J51" s="400"/>
      <c r="K51" s="400"/>
      <c r="L51" s="271"/>
      <c r="M51" s="443"/>
      <c r="N51" s="443"/>
      <c r="O51" s="403"/>
      <c r="P51" s="403"/>
      <c r="Q51" s="390"/>
      <c r="R51" s="390"/>
      <c r="S51" s="390"/>
      <c r="T51" s="390"/>
      <c r="U51" s="390"/>
      <c r="V51" s="390"/>
      <c r="W51" s="381"/>
      <c r="X51" s="434"/>
      <c r="Y51" s="434"/>
      <c r="Z51" s="381"/>
      <c r="AA51" s="437"/>
      <c r="AB51" s="259" t="s">
        <v>215</v>
      </c>
      <c r="AC51" s="325"/>
      <c r="AD51" s="325"/>
      <c r="AE51" s="325"/>
      <c r="AF51" s="325"/>
      <c r="AG51" s="325"/>
      <c r="AH51" s="325"/>
      <c r="AI51" s="325"/>
      <c r="AJ51" s="325"/>
      <c r="AK51" s="325"/>
      <c r="AL51" s="325"/>
      <c r="AM51" s="325"/>
      <c r="AN51" s="325"/>
      <c r="AO51" s="325"/>
      <c r="AP51" s="325"/>
      <c r="AQ51" s="260">
        <f t="shared" si="10"/>
        <v>0</v>
      </c>
      <c r="AR51" s="261">
        <f t="shared" si="10"/>
        <v>0</v>
      </c>
      <c r="AS51" s="6"/>
      <c r="AT51" s="6"/>
      <c r="AU51" s="6"/>
      <c r="AV51" s="6"/>
      <c r="AW51" s="262"/>
      <c r="AX51" s="262"/>
      <c r="AY51" s="262"/>
      <c r="AZ51" s="262"/>
      <c r="BA51" s="262"/>
      <c r="BB51" s="262"/>
      <c r="BF51" s="6"/>
      <c r="BG51" s="6"/>
      <c r="BH51" s="6"/>
      <c r="BI51" s="6"/>
      <c r="BJ51" s="6"/>
      <c r="BK51" s="6"/>
      <c r="BL51" s="6"/>
      <c r="BM51" s="6"/>
      <c r="BN51" s="6"/>
      <c r="BO51" s="6"/>
      <c r="BP51" s="6"/>
      <c r="BQ51" s="6"/>
      <c r="BR51" s="6"/>
      <c r="BS51" s="6"/>
      <c r="BT51" s="6"/>
      <c r="BU51" s="6"/>
      <c r="BV51" s="6"/>
      <c r="BW51" s="6"/>
    </row>
    <row r="52" spans="1:75" s="258" customFormat="1" ht="14.25" customHeight="1">
      <c r="A52" s="251"/>
      <c r="B52" s="251"/>
      <c r="C52" s="251"/>
      <c r="D52" s="251"/>
      <c r="E52" s="251"/>
      <c r="F52" s="251"/>
      <c r="G52" s="252"/>
      <c r="H52" s="394"/>
      <c r="I52" s="440"/>
      <c r="J52" s="400"/>
      <c r="K52" s="400"/>
      <c r="L52" s="271"/>
      <c r="M52" s="443"/>
      <c r="N52" s="443"/>
      <c r="O52" s="403"/>
      <c r="P52" s="403"/>
      <c r="Q52" s="390"/>
      <c r="R52" s="390"/>
      <c r="S52" s="390"/>
      <c r="T52" s="390"/>
      <c r="U52" s="390"/>
      <c r="V52" s="390"/>
      <c r="W52" s="381"/>
      <c r="X52" s="434"/>
      <c r="Y52" s="434"/>
      <c r="Z52" s="381"/>
      <c r="AA52" s="437"/>
      <c r="AB52" s="259" t="s">
        <v>216</v>
      </c>
      <c r="AC52" s="325"/>
      <c r="AD52" s="325"/>
      <c r="AE52" s="325"/>
      <c r="AF52" s="325"/>
      <c r="AG52" s="325"/>
      <c r="AH52" s="325"/>
      <c r="AI52" s="325"/>
      <c r="AJ52" s="325"/>
      <c r="AK52" s="325"/>
      <c r="AL52" s="325"/>
      <c r="AM52" s="325"/>
      <c r="AN52" s="325"/>
      <c r="AO52" s="325"/>
      <c r="AP52" s="325"/>
      <c r="AQ52" s="260">
        <f t="shared" si="10"/>
        <v>0</v>
      </c>
      <c r="AR52" s="261">
        <f t="shared" si="10"/>
        <v>0</v>
      </c>
      <c r="AS52" s="6"/>
      <c r="AT52" s="6"/>
      <c r="AU52" s="6"/>
      <c r="AV52" s="6"/>
      <c r="AW52" s="262"/>
      <c r="AX52" s="262"/>
      <c r="AY52" s="262"/>
      <c r="AZ52" s="262"/>
      <c r="BA52" s="262"/>
      <c r="BB52" s="262"/>
      <c r="BF52" s="6"/>
      <c r="BG52" s="6"/>
      <c r="BH52" s="6"/>
      <c r="BI52" s="6"/>
      <c r="BJ52" s="6"/>
      <c r="BK52" s="6"/>
      <c r="BL52" s="6"/>
      <c r="BM52" s="6"/>
      <c r="BN52" s="6"/>
      <c r="BO52" s="6"/>
      <c r="BP52" s="6"/>
      <c r="BQ52" s="6"/>
      <c r="BR52" s="6"/>
      <c r="BS52" s="6"/>
      <c r="BT52" s="6"/>
      <c r="BU52" s="6"/>
      <c r="BV52" s="6"/>
      <c r="BW52" s="6"/>
    </row>
    <row r="53" spans="1:75" s="258" customFormat="1" ht="3.75" customHeight="1" thickBot="1">
      <c r="A53" s="251"/>
      <c r="B53" s="251"/>
      <c r="C53" s="251"/>
      <c r="D53" s="251"/>
      <c r="E53" s="251"/>
      <c r="F53" s="251"/>
      <c r="G53" s="252"/>
      <c r="H53" s="394"/>
      <c r="I53" s="440"/>
      <c r="J53" s="400"/>
      <c r="K53" s="400"/>
      <c r="L53" s="271"/>
      <c r="M53" s="443"/>
      <c r="N53" s="443"/>
      <c r="O53" s="403"/>
      <c r="P53" s="403"/>
      <c r="Q53" s="390"/>
      <c r="R53" s="390"/>
      <c r="S53" s="390"/>
      <c r="T53" s="390"/>
      <c r="U53" s="390"/>
      <c r="V53" s="390"/>
      <c r="W53" s="381"/>
      <c r="X53" s="434"/>
      <c r="Y53" s="434"/>
      <c r="Z53" s="381"/>
      <c r="AA53" s="437"/>
      <c r="AB53" s="263" t="s">
        <v>217</v>
      </c>
      <c r="AC53" s="325"/>
      <c r="AD53" s="325"/>
      <c r="AE53" s="325"/>
      <c r="AF53" s="325"/>
      <c r="AG53" s="325"/>
      <c r="AH53" s="325"/>
      <c r="AI53" s="325"/>
      <c r="AJ53" s="325"/>
      <c r="AK53" s="325"/>
      <c r="AL53" s="325"/>
      <c r="AM53" s="325"/>
      <c r="AN53" s="325"/>
      <c r="AO53" s="325"/>
      <c r="AP53" s="325"/>
      <c r="AQ53" s="260">
        <f t="shared" si="10"/>
        <v>0</v>
      </c>
      <c r="AR53" s="261">
        <f t="shared" si="10"/>
        <v>0</v>
      </c>
      <c r="AS53" s="6"/>
      <c r="AT53" s="6"/>
      <c r="AU53" s="6"/>
      <c r="AV53" s="6"/>
      <c r="AW53" s="262"/>
      <c r="AX53" s="262"/>
      <c r="AY53" s="262"/>
      <c r="AZ53" s="262"/>
      <c r="BA53" s="262"/>
      <c r="BB53" s="262"/>
      <c r="BF53" s="6"/>
      <c r="BG53" s="6"/>
      <c r="BH53" s="6"/>
      <c r="BI53" s="6"/>
      <c r="BJ53" s="6"/>
      <c r="BK53" s="6"/>
      <c r="BL53" s="6"/>
      <c r="BM53" s="6"/>
      <c r="BN53" s="6"/>
      <c r="BO53" s="6"/>
      <c r="BP53" s="6"/>
      <c r="BQ53" s="6"/>
      <c r="BR53" s="6"/>
      <c r="BS53" s="6"/>
      <c r="BT53" s="6"/>
      <c r="BU53" s="6"/>
      <c r="BV53" s="6"/>
      <c r="BW53" s="6"/>
    </row>
    <row r="54" spans="1:75" s="258" customFormat="1" ht="22.5" customHeight="1" hidden="1" thickBot="1">
      <c r="A54" s="251"/>
      <c r="B54" s="251"/>
      <c r="C54" s="251"/>
      <c r="D54" s="251"/>
      <c r="E54" s="251"/>
      <c r="F54" s="251"/>
      <c r="G54" s="252"/>
      <c r="H54" s="394"/>
      <c r="I54" s="440"/>
      <c r="J54" s="400"/>
      <c r="K54" s="400"/>
      <c r="L54" s="271"/>
      <c r="M54" s="443"/>
      <c r="N54" s="443"/>
      <c r="O54" s="403"/>
      <c r="P54" s="403"/>
      <c r="Q54" s="390"/>
      <c r="R54" s="390"/>
      <c r="S54" s="390"/>
      <c r="T54" s="390"/>
      <c r="U54" s="390"/>
      <c r="V54" s="390"/>
      <c r="W54" s="381"/>
      <c r="X54" s="434"/>
      <c r="Y54" s="434"/>
      <c r="Z54" s="381"/>
      <c r="AA54" s="437"/>
      <c r="AB54" s="264" t="s">
        <v>218</v>
      </c>
      <c r="AC54" s="265">
        <f aca="true" t="shared" si="11" ref="AC54:AR54">SUM(AC48:AC53)</f>
        <v>0</v>
      </c>
      <c r="AD54" s="265">
        <f t="shared" si="11"/>
        <v>0</v>
      </c>
      <c r="AE54" s="265">
        <f t="shared" si="11"/>
        <v>0</v>
      </c>
      <c r="AF54" s="265">
        <f t="shared" si="11"/>
        <v>0</v>
      </c>
      <c r="AG54" s="265">
        <f t="shared" si="11"/>
        <v>0</v>
      </c>
      <c r="AH54" s="265">
        <f t="shared" si="11"/>
        <v>0</v>
      </c>
      <c r="AI54" s="265">
        <f t="shared" si="11"/>
        <v>0</v>
      </c>
      <c r="AJ54" s="265">
        <f t="shared" si="11"/>
        <v>0</v>
      </c>
      <c r="AK54" s="265">
        <f t="shared" si="11"/>
        <v>0</v>
      </c>
      <c r="AL54" s="265">
        <f t="shared" si="11"/>
        <v>0</v>
      </c>
      <c r="AM54" s="265">
        <f t="shared" si="11"/>
        <v>0</v>
      </c>
      <c r="AN54" s="265">
        <f t="shared" si="11"/>
        <v>0</v>
      </c>
      <c r="AO54" s="265">
        <f t="shared" si="11"/>
        <v>0</v>
      </c>
      <c r="AP54" s="265">
        <f t="shared" si="11"/>
        <v>0</v>
      </c>
      <c r="AQ54" s="265">
        <f t="shared" si="11"/>
        <v>0</v>
      </c>
      <c r="AR54" s="266">
        <f t="shared" si="11"/>
        <v>0</v>
      </c>
      <c r="AS54" s="6"/>
      <c r="AT54" s="6"/>
      <c r="AU54" s="6"/>
      <c r="AV54" s="6"/>
      <c r="AW54" s="262"/>
      <c r="AX54" s="262"/>
      <c r="AY54" s="262"/>
      <c r="AZ54" s="262"/>
      <c r="BA54" s="262"/>
      <c r="BB54" s="262"/>
      <c r="BF54" s="6"/>
      <c r="BG54" s="6"/>
      <c r="BH54" s="6"/>
      <c r="BI54" s="6"/>
      <c r="BJ54" s="6"/>
      <c r="BK54" s="6"/>
      <c r="BL54" s="6"/>
      <c r="BM54" s="6"/>
      <c r="BN54" s="6"/>
      <c r="BO54" s="6"/>
      <c r="BP54" s="6"/>
      <c r="BQ54" s="6"/>
      <c r="BR54" s="6"/>
      <c r="BS54" s="6"/>
      <c r="BT54" s="6"/>
      <c r="BU54" s="6"/>
      <c r="BV54" s="6"/>
      <c r="BW54" s="6"/>
    </row>
    <row r="55" spans="1:75" s="258" customFormat="1" ht="14.25" customHeight="1" hidden="1" thickBot="1">
      <c r="A55" s="251"/>
      <c r="B55" s="251"/>
      <c r="C55" s="251"/>
      <c r="D55" s="251"/>
      <c r="E55" s="251"/>
      <c r="F55" s="251"/>
      <c r="G55" s="252"/>
      <c r="H55" s="394"/>
      <c r="I55" s="440"/>
      <c r="J55" s="400"/>
      <c r="K55" s="400"/>
      <c r="L55" s="271"/>
      <c r="M55" s="443"/>
      <c r="N55" s="443"/>
      <c r="O55" s="403"/>
      <c r="P55" s="403"/>
      <c r="Q55" s="390"/>
      <c r="R55" s="390"/>
      <c r="S55" s="390"/>
      <c r="T55" s="390"/>
      <c r="U55" s="390"/>
      <c r="V55" s="390"/>
      <c r="W55" s="381"/>
      <c r="X55" s="434"/>
      <c r="Y55" s="434"/>
      <c r="Z55" s="381"/>
      <c r="AA55" s="437"/>
      <c r="AB55" s="259" t="s">
        <v>219</v>
      </c>
      <c r="AC55" s="325"/>
      <c r="AD55" s="325"/>
      <c r="AE55" s="325"/>
      <c r="AF55" s="325"/>
      <c r="AG55" s="325"/>
      <c r="AH55" s="325"/>
      <c r="AI55" s="325"/>
      <c r="AJ55" s="325"/>
      <c r="AK55" s="325"/>
      <c r="AL55" s="325"/>
      <c r="AM55" s="325"/>
      <c r="AN55" s="325"/>
      <c r="AO55" s="325"/>
      <c r="AP55" s="325"/>
      <c r="AQ55" s="260">
        <f>+AC55+AE55+AG55+AI55+AK55+AM55+AO55</f>
        <v>0</v>
      </c>
      <c r="AR55" s="261">
        <f aca="true" t="shared" si="12" ref="AR55:AR61">+AD55+AF55+AH55+AJ55+AL55+AN55+AP55</f>
        <v>0</v>
      </c>
      <c r="AS55" s="6"/>
      <c r="AT55" s="6"/>
      <c r="AU55" s="6"/>
      <c r="AV55" s="6"/>
      <c r="AW55" s="262"/>
      <c r="AX55" s="262"/>
      <c r="AY55" s="262"/>
      <c r="AZ55" s="262"/>
      <c r="BA55" s="262"/>
      <c r="BB55" s="262"/>
      <c r="BF55" s="6"/>
      <c r="BG55" s="6"/>
      <c r="BH55" s="6"/>
      <c r="BI55" s="6"/>
      <c r="BJ55" s="6"/>
      <c r="BK55" s="6"/>
      <c r="BL55" s="6"/>
      <c r="BM55" s="6"/>
      <c r="BN55" s="6"/>
      <c r="BO55" s="6"/>
      <c r="BP55" s="6"/>
      <c r="BQ55" s="6"/>
      <c r="BR55" s="6"/>
      <c r="BS55" s="6"/>
      <c r="BT55" s="6"/>
      <c r="BU55" s="6"/>
      <c r="BV55" s="6"/>
      <c r="BW55" s="6"/>
    </row>
    <row r="56" spans="1:75" s="258" customFormat="1" ht="14.25" customHeight="1" hidden="1" thickBot="1">
      <c r="A56" s="251"/>
      <c r="B56" s="251"/>
      <c r="C56" s="251"/>
      <c r="D56" s="251"/>
      <c r="E56" s="251"/>
      <c r="F56" s="251"/>
      <c r="G56" s="252"/>
      <c r="H56" s="394"/>
      <c r="I56" s="440"/>
      <c r="J56" s="400"/>
      <c r="K56" s="400"/>
      <c r="L56" s="271"/>
      <c r="M56" s="443"/>
      <c r="N56" s="443"/>
      <c r="O56" s="403"/>
      <c r="P56" s="403"/>
      <c r="Q56" s="390"/>
      <c r="R56" s="390"/>
      <c r="S56" s="390"/>
      <c r="T56" s="390"/>
      <c r="U56" s="390"/>
      <c r="V56" s="390"/>
      <c r="W56" s="381"/>
      <c r="X56" s="434"/>
      <c r="Y56" s="434"/>
      <c r="Z56" s="381"/>
      <c r="AA56" s="437"/>
      <c r="AB56" s="259" t="s">
        <v>288</v>
      </c>
      <c r="AC56" s="325"/>
      <c r="AD56" s="325"/>
      <c r="AE56" s="325"/>
      <c r="AF56" s="325"/>
      <c r="AG56" s="325"/>
      <c r="AH56" s="325"/>
      <c r="AI56" s="325"/>
      <c r="AJ56" s="325"/>
      <c r="AK56" s="325"/>
      <c r="AL56" s="325"/>
      <c r="AM56" s="325"/>
      <c r="AN56" s="325"/>
      <c r="AO56" s="325"/>
      <c r="AP56" s="325"/>
      <c r="AQ56" s="260">
        <f aca="true" t="shared" si="13" ref="AQ56:AQ61">+AC56+AE56+AG56+AI56+AK56+AM56+AO56</f>
        <v>0</v>
      </c>
      <c r="AR56" s="261">
        <f t="shared" si="12"/>
        <v>0</v>
      </c>
      <c r="AS56" s="6"/>
      <c r="AT56" s="6"/>
      <c r="AU56" s="6"/>
      <c r="AV56" s="6"/>
      <c r="AW56" s="262"/>
      <c r="AX56" s="262"/>
      <c r="AY56" s="262"/>
      <c r="AZ56" s="262"/>
      <c r="BA56" s="262"/>
      <c r="BB56" s="262"/>
      <c r="BF56" s="6"/>
      <c r="BG56" s="6"/>
      <c r="BH56" s="6"/>
      <c r="BI56" s="6"/>
      <c r="BJ56" s="6"/>
      <c r="BK56" s="6"/>
      <c r="BL56" s="6"/>
      <c r="BM56" s="6"/>
      <c r="BN56" s="6"/>
      <c r="BO56" s="6"/>
      <c r="BP56" s="6"/>
      <c r="BQ56" s="6"/>
      <c r="BR56" s="6"/>
      <c r="BS56" s="6"/>
      <c r="BT56" s="6"/>
      <c r="BU56" s="6"/>
      <c r="BV56" s="6"/>
      <c r="BW56" s="6"/>
    </row>
    <row r="57" spans="1:75" s="258" customFormat="1" ht="14.25" customHeight="1" hidden="1" thickBot="1">
      <c r="A57" s="251"/>
      <c r="B57" s="251"/>
      <c r="C57" s="251"/>
      <c r="D57" s="251"/>
      <c r="E57" s="251"/>
      <c r="F57" s="251"/>
      <c r="G57" s="252"/>
      <c r="H57" s="394"/>
      <c r="I57" s="440"/>
      <c r="J57" s="400"/>
      <c r="K57" s="400"/>
      <c r="L57" s="271"/>
      <c r="M57" s="443"/>
      <c r="N57" s="443"/>
      <c r="O57" s="403"/>
      <c r="P57" s="403"/>
      <c r="Q57" s="390"/>
      <c r="R57" s="390"/>
      <c r="S57" s="390"/>
      <c r="T57" s="390"/>
      <c r="U57" s="390"/>
      <c r="V57" s="390"/>
      <c r="W57" s="381"/>
      <c r="X57" s="434"/>
      <c r="Y57" s="434"/>
      <c r="Z57" s="381"/>
      <c r="AA57" s="437"/>
      <c r="AB57" s="263" t="s">
        <v>221</v>
      </c>
      <c r="AC57" s="325"/>
      <c r="AD57" s="325"/>
      <c r="AE57" s="325"/>
      <c r="AF57" s="325"/>
      <c r="AG57" s="325"/>
      <c r="AH57" s="325"/>
      <c r="AI57" s="325"/>
      <c r="AJ57" s="325"/>
      <c r="AK57" s="325"/>
      <c r="AL57" s="325"/>
      <c r="AM57" s="325"/>
      <c r="AN57" s="325"/>
      <c r="AO57" s="325"/>
      <c r="AP57" s="325"/>
      <c r="AQ57" s="260">
        <f t="shared" si="13"/>
        <v>0</v>
      </c>
      <c r="AR57" s="261">
        <f t="shared" si="12"/>
        <v>0</v>
      </c>
      <c r="AS57" s="6"/>
      <c r="AT57" s="6"/>
      <c r="AU57" s="6"/>
      <c r="AV57" s="6"/>
      <c r="AW57" s="262"/>
      <c r="AX57" s="262"/>
      <c r="AY57" s="262"/>
      <c r="AZ57" s="262"/>
      <c r="BA57" s="262"/>
      <c r="BB57" s="262"/>
      <c r="BF57" s="6"/>
      <c r="BG57" s="6"/>
      <c r="BH57" s="6"/>
      <c r="BI57" s="6"/>
      <c r="BJ57" s="6"/>
      <c r="BK57" s="6"/>
      <c r="BL57" s="6"/>
      <c r="BM57" s="6"/>
      <c r="BN57" s="6"/>
      <c r="BO57" s="6"/>
      <c r="BP57" s="6"/>
      <c r="BQ57" s="6"/>
      <c r="BR57" s="6"/>
      <c r="BS57" s="6"/>
      <c r="BT57" s="6"/>
      <c r="BU57" s="6"/>
      <c r="BV57" s="6"/>
      <c r="BW57" s="6"/>
    </row>
    <row r="58" spans="1:75" s="258" customFormat="1" ht="14.25" customHeight="1" hidden="1" thickBot="1">
      <c r="A58" s="251"/>
      <c r="B58" s="251"/>
      <c r="C58" s="251"/>
      <c r="D58" s="251"/>
      <c r="E58" s="251"/>
      <c r="F58" s="251"/>
      <c r="G58" s="252"/>
      <c r="H58" s="394"/>
      <c r="I58" s="440"/>
      <c r="J58" s="400"/>
      <c r="K58" s="400"/>
      <c r="L58" s="271"/>
      <c r="M58" s="443"/>
      <c r="N58" s="443"/>
      <c r="O58" s="403"/>
      <c r="P58" s="403"/>
      <c r="Q58" s="390"/>
      <c r="R58" s="390"/>
      <c r="S58" s="390"/>
      <c r="T58" s="390"/>
      <c r="U58" s="390"/>
      <c r="V58" s="390"/>
      <c r="W58" s="381"/>
      <c r="X58" s="434"/>
      <c r="Y58" s="434"/>
      <c r="Z58" s="381"/>
      <c r="AA58" s="437"/>
      <c r="AB58" s="263" t="s">
        <v>222</v>
      </c>
      <c r="AC58" s="325"/>
      <c r="AD58" s="325"/>
      <c r="AE58" s="325"/>
      <c r="AF58" s="325"/>
      <c r="AG58" s="325"/>
      <c r="AH58" s="325"/>
      <c r="AI58" s="325"/>
      <c r="AJ58" s="325"/>
      <c r="AK58" s="325"/>
      <c r="AL58" s="325"/>
      <c r="AM58" s="325"/>
      <c r="AN58" s="325"/>
      <c r="AO58" s="325"/>
      <c r="AP58" s="325"/>
      <c r="AQ58" s="260">
        <f t="shared" si="13"/>
        <v>0</v>
      </c>
      <c r="AR58" s="261">
        <f t="shared" si="12"/>
        <v>0</v>
      </c>
      <c r="AS58" s="6"/>
      <c r="AT58" s="6"/>
      <c r="AU58" s="6"/>
      <c r="AV58" s="6"/>
      <c r="AW58" s="262"/>
      <c r="AX58" s="262"/>
      <c r="AY58" s="262"/>
      <c r="AZ58" s="262"/>
      <c r="BA58" s="262"/>
      <c r="BB58" s="262"/>
      <c r="BF58" s="6"/>
      <c r="BG58" s="6"/>
      <c r="BH58" s="6"/>
      <c r="BI58" s="6"/>
      <c r="BJ58" s="6"/>
      <c r="BK58" s="6"/>
      <c r="BL58" s="6"/>
      <c r="BM58" s="6"/>
      <c r="BN58" s="6"/>
      <c r="BO58" s="6"/>
      <c r="BP58" s="6"/>
      <c r="BQ58" s="6"/>
      <c r="BR58" s="6"/>
      <c r="BS58" s="6"/>
      <c r="BT58" s="6"/>
      <c r="BU58" s="6"/>
      <c r="BV58" s="6"/>
      <c r="BW58" s="6"/>
    </row>
    <row r="59" spans="1:75" s="258" customFormat="1" ht="14.25" customHeight="1" hidden="1" thickBot="1">
      <c r="A59" s="251"/>
      <c r="B59" s="251"/>
      <c r="C59" s="251"/>
      <c r="D59" s="251"/>
      <c r="E59" s="251"/>
      <c r="F59" s="251"/>
      <c r="G59" s="252"/>
      <c r="H59" s="394"/>
      <c r="I59" s="440"/>
      <c r="J59" s="400"/>
      <c r="K59" s="400"/>
      <c r="L59" s="271"/>
      <c r="M59" s="443"/>
      <c r="N59" s="443"/>
      <c r="O59" s="403"/>
      <c r="P59" s="403"/>
      <c r="Q59" s="390"/>
      <c r="R59" s="390"/>
      <c r="S59" s="390"/>
      <c r="T59" s="390"/>
      <c r="U59" s="390"/>
      <c r="V59" s="390"/>
      <c r="W59" s="381"/>
      <c r="X59" s="434"/>
      <c r="Y59" s="434"/>
      <c r="Z59" s="381"/>
      <c r="AA59" s="437"/>
      <c r="AB59" s="263" t="s">
        <v>223</v>
      </c>
      <c r="AC59" s="325"/>
      <c r="AD59" s="325"/>
      <c r="AE59" s="325"/>
      <c r="AF59" s="325"/>
      <c r="AG59" s="325"/>
      <c r="AH59" s="325"/>
      <c r="AI59" s="325"/>
      <c r="AJ59" s="325"/>
      <c r="AK59" s="325"/>
      <c r="AL59" s="325"/>
      <c r="AM59" s="325"/>
      <c r="AN59" s="325"/>
      <c r="AO59" s="325"/>
      <c r="AP59" s="325"/>
      <c r="AQ59" s="260">
        <f t="shared" si="13"/>
        <v>0</v>
      </c>
      <c r="AR59" s="261">
        <f t="shared" si="12"/>
        <v>0</v>
      </c>
      <c r="AS59" s="6"/>
      <c r="AT59" s="6"/>
      <c r="AU59" s="6"/>
      <c r="AV59" s="6"/>
      <c r="AW59" s="262"/>
      <c r="AX59" s="262"/>
      <c r="AY59" s="262"/>
      <c r="AZ59" s="262"/>
      <c r="BA59" s="262"/>
      <c r="BB59" s="262"/>
      <c r="BF59" s="6"/>
      <c r="BG59" s="6"/>
      <c r="BH59" s="6"/>
      <c r="BI59" s="6"/>
      <c r="BJ59" s="6"/>
      <c r="BK59" s="6"/>
      <c r="BL59" s="6"/>
      <c r="BM59" s="6"/>
      <c r="BN59" s="6"/>
      <c r="BO59" s="6"/>
      <c r="BP59" s="6"/>
      <c r="BQ59" s="6"/>
      <c r="BR59" s="6"/>
      <c r="BS59" s="6"/>
      <c r="BT59" s="6"/>
      <c r="BU59" s="6"/>
      <c r="BV59" s="6"/>
      <c r="BW59" s="6"/>
    </row>
    <row r="60" spans="1:75" s="258" customFormat="1" ht="14.25" customHeight="1" hidden="1" thickBot="1">
      <c r="A60" s="251"/>
      <c r="B60" s="251"/>
      <c r="C60" s="251"/>
      <c r="D60" s="251"/>
      <c r="E60" s="251"/>
      <c r="F60" s="251"/>
      <c r="G60" s="252"/>
      <c r="H60" s="394"/>
      <c r="I60" s="440"/>
      <c r="J60" s="400"/>
      <c r="K60" s="400"/>
      <c r="L60" s="271"/>
      <c r="M60" s="443"/>
      <c r="N60" s="443"/>
      <c r="O60" s="403"/>
      <c r="P60" s="403"/>
      <c r="Q60" s="390"/>
      <c r="R60" s="390"/>
      <c r="S60" s="390"/>
      <c r="T60" s="390"/>
      <c r="U60" s="390"/>
      <c r="V60" s="390"/>
      <c r="W60" s="381"/>
      <c r="X60" s="434"/>
      <c r="Y60" s="434"/>
      <c r="Z60" s="381"/>
      <c r="AA60" s="437"/>
      <c r="AB60" s="263" t="s">
        <v>224</v>
      </c>
      <c r="AC60" s="325"/>
      <c r="AD60" s="325"/>
      <c r="AE60" s="325"/>
      <c r="AF60" s="325"/>
      <c r="AG60" s="325"/>
      <c r="AH60" s="325"/>
      <c r="AI60" s="325"/>
      <c r="AJ60" s="325"/>
      <c r="AK60" s="325"/>
      <c r="AL60" s="325"/>
      <c r="AM60" s="325"/>
      <c r="AN60" s="325"/>
      <c r="AO60" s="325"/>
      <c r="AP60" s="325"/>
      <c r="AQ60" s="260">
        <f t="shared" si="13"/>
        <v>0</v>
      </c>
      <c r="AR60" s="261">
        <f t="shared" si="12"/>
        <v>0</v>
      </c>
      <c r="AS60" s="6"/>
      <c r="AT60" s="6"/>
      <c r="AU60" s="6"/>
      <c r="AV60" s="6"/>
      <c r="AW60" s="262"/>
      <c r="AX60" s="262"/>
      <c r="AY60" s="262"/>
      <c r="AZ60" s="262"/>
      <c r="BA60" s="262"/>
      <c r="BB60" s="262"/>
      <c r="BF60" s="6"/>
      <c r="BG60" s="6"/>
      <c r="BH60" s="6"/>
      <c r="BI60" s="6"/>
      <c r="BJ60" s="6"/>
      <c r="BK60" s="6"/>
      <c r="BL60" s="6"/>
      <c r="BM60" s="6"/>
      <c r="BN60" s="6"/>
      <c r="BO60" s="6"/>
      <c r="BP60" s="6"/>
      <c r="BQ60" s="6"/>
      <c r="BR60" s="6"/>
      <c r="BS60" s="6"/>
      <c r="BT60" s="6"/>
      <c r="BU60" s="6"/>
      <c r="BV60" s="6"/>
      <c r="BW60" s="6"/>
    </row>
    <row r="61" spans="1:75" s="258" customFormat="1" ht="14.25" customHeight="1" hidden="1" thickBot="1">
      <c r="A61" s="251"/>
      <c r="B61" s="251"/>
      <c r="C61" s="251"/>
      <c r="D61" s="251"/>
      <c r="E61" s="251"/>
      <c r="F61" s="251"/>
      <c r="G61" s="252"/>
      <c r="H61" s="394"/>
      <c r="I61" s="440"/>
      <c r="J61" s="400"/>
      <c r="K61" s="400"/>
      <c r="L61" s="271"/>
      <c r="M61" s="443"/>
      <c r="N61" s="443"/>
      <c r="O61" s="403"/>
      <c r="P61" s="403"/>
      <c r="Q61" s="390"/>
      <c r="R61" s="390"/>
      <c r="S61" s="390"/>
      <c r="T61" s="390"/>
      <c r="U61" s="390"/>
      <c r="V61" s="390"/>
      <c r="W61" s="381"/>
      <c r="X61" s="434"/>
      <c r="Y61" s="434"/>
      <c r="Z61" s="381"/>
      <c r="AA61" s="437"/>
      <c r="AB61" s="263" t="s">
        <v>225</v>
      </c>
      <c r="AC61" s="325"/>
      <c r="AD61" s="325"/>
      <c r="AE61" s="325"/>
      <c r="AF61" s="325"/>
      <c r="AG61" s="325"/>
      <c r="AH61" s="325"/>
      <c r="AI61" s="325"/>
      <c r="AJ61" s="325"/>
      <c r="AK61" s="325"/>
      <c r="AL61" s="325"/>
      <c r="AM61" s="325"/>
      <c r="AN61" s="325"/>
      <c r="AO61" s="325"/>
      <c r="AP61" s="325"/>
      <c r="AQ61" s="260">
        <f t="shared" si="13"/>
        <v>0</v>
      </c>
      <c r="AR61" s="261">
        <f t="shared" si="12"/>
        <v>0</v>
      </c>
      <c r="AS61" s="6"/>
      <c r="AT61" s="6"/>
      <c r="AU61" s="6"/>
      <c r="AV61" s="6"/>
      <c r="AW61" s="262"/>
      <c r="AX61" s="262"/>
      <c r="AY61" s="262"/>
      <c r="AZ61" s="262"/>
      <c r="BA61" s="262"/>
      <c r="BB61" s="262"/>
      <c r="BF61" s="6"/>
      <c r="BG61" s="6"/>
      <c r="BH61" s="6"/>
      <c r="BI61" s="6"/>
      <c r="BJ61" s="6"/>
      <c r="BK61" s="6"/>
      <c r="BL61" s="6"/>
      <c r="BM61" s="6"/>
      <c r="BN61" s="6"/>
      <c r="BO61" s="6"/>
      <c r="BP61" s="6"/>
      <c r="BQ61" s="6"/>
      <c r="BR61" s="6"/>
      <c r="BS61" s="6"/>
      <c r="BT61" s="6"/>
      <c r="BU61" s="6"/>
      <c r="BV61" s="6"/>
      <c r="BW61" s="6"/>
    </row>
    <row r="62" spans="1:75" s="258" customFormat="1" ht="14.25" customHeight="1" hidden="1" thickBot="1">
      <c r="A62" s="251"/>
      <c r="B62" s="251"/>
      <c r="C62" s="251"/>
      <c r="D62" s="251"/>
      <c r="E62" s="251"/>
      <c r="F62" s="251"/>
      <c r="G62" s="252"/>
      <c r="H62" s="394"/>
      <c r="I62" s="440"/>
      <c r="J62" s="400"/>
      <c r="K62" s="400"/>
      <c r="L62" s="271"/>
      <c r="M62" s="443"/>
      <c r="N62" s="443"/>
      <c r="O62" s="403"/>
      <c r="P62" s="403"/>
      <c r="Q62" s="390"/>
      <c r="R62" s="390"/>
      <c r="S62" s="390"/>
      <c r="T62" s="390"/>
      <c r="U62" s="390"/>
      <c r="V62" s="390"/>
      <c r="W62" s="381"/>
      <c r="X62" s="434"/>
      <c r="Y62" s="434"/>
      <c r="Z62" s="381"/>
      <c r="AA62" s="437"/>
      <c r="AB62" s="264" t="s">
        <v>289</v>
      </c>
      <c r="AC62" s="265">
        <f aca="true" t="shared" si="14" ref="AC62:AR62">SUM(AC56:AC61)+IF(AC54=0,AC55,AC54)</f>
        <v>0</v>
      </c>
      <c r="AD62" s="265">
        <f t="shared" si="14"/>
        <v>0</v>
      </c>
      <c r="AE62" s="265">
        <f t="shared" si="14"/>
        <v>0</v>
      </c>
      <c r="AF62" s="265">
        <f t="shared" si="14"/>
        <v>0</v>
      </c>
      <c r="AG62" s="265">
        <f t="shared" si="14"/>
        <v>0</v>
      </c>
      <c r="AH62" s="265">
        <f t="shared" si="14"/>
        <v>0</v>
      </c>
      <c r="AI62" s="265">
        <f t="shared" si="14"/>
        <v>0</v>
      </c>
      <c r="AJ62" s="265">
        <f t="shared" si="14"/>
        <v>0</v>
      </c>
      <c r="AK62" s="265">
        <f t="shared" si="14"/>
        <v>0</v>
      </c>
      <c r="AL62" s="265">
        <f t="shared" si="14"/>
        <v>0</v>
      </c>
      <c r="AM62" s="265">
        <f t="shared" si="14"/>
        <v>0</v>
      </c>
      <c r="AN62" s="265">
        <f t="shared" si="14"/>
        <v>0</v>
      </c>
      <c r="AO62" s="265">
        <f t="shared" si="14"/>
        <v>0</v>
      </c>
      <c r="AP62" s="265">
        <f t="shared" si="14"/>
        <v>0</v>
      </c>
      <c r="AQ62" s="265">
        <f t="shared" si="14"/>
        <v>0</v>
      </c>
      <c r="AR62" s="266">
        <f t="shared" si="14"/>
        <v>0</v>
      </c>
      <c r="AS62" s="6"/>
      <c r="AT62" s="6"/>
      <c r="AU62" s="6"/>
      <c r="AV62" s="6"/>
      <c r="AW62" s="262"/>
      <c r="AX62" s="262"/>
      <c r="AY62" s="262"/>
      <c r="AZ62" s="262"/>
      <c r="BA62" s="262"/>
      <c r="BB62" s="262"/>
      <c r="BF62" s="6"/>
      <c r="BG62" s="6"/>
      <c r="BH62" s="6"/>
      <c r="BI62" s="6"/>
      <c r="BJ62" s="6"/>
      <c r="BK62" s="6"/>
      <c r="BL62" s="6"/>
      <c r="BM62" s="6"/>
      <c r="BN62" s="6"/>
      <c r="BO62" s="6"/>
      <c r="BP62" s="6"/>
      <c r="BQ62" s="6"/>
      <c r="BR62" s="6"/>
      <c r="BS62" s="6"/>
      <c r="BT62" s="6"/>
      <c r="BU62" s="6"/>
      <c r="BV62" s="6"/>
      <c r="BW62" s="6"/>
    </row>
    <row r="63" spans="1:75" s="258" customFormat="1" ht="37.5" customHeight="1" hidden="1" thickBot="1">
      <c r="A63" s="251"/>
      <c r="B63" s="251"/>
      <c r="C63" s="251"/>
      <c r="D63" s="251"/>
      <c r="E63" s="251"/>
      <c r="F63" s="251"/>
      <c r="G63" s="252"/>
      <c r="H63" s="395"/>
      <c r="I63" s="441"/>
      <c r="J63" s="401"/>
      <c r="K63" s="401"/>
      <c r="L63" s="272"/>
      <c r="M63" s="444"/>
      <c r="N63" s="444"/>
      <c r="O63" s="404"/>
      <c r="P63" s="404"/>
      <c r="Q63" s="391"/>
      <c r="R63" s="391"/>
      <c r="S63" s="391"/>
      <c r="T63" s="391"/>
      <c r="U63" s="391"/>
      <c r="V63" s="391"/>
      <c r="W63" s="382"/>
      <c r="X63" s="435"/>
      <c r="Y63" s="435"/>
      <c r="Z63" s="382"/>
      <c r="AA63" s="438"/>
      <c r="AB63" s="267" t="s">
        <v>290</v>
      </c>
      <c r="AC63" s="326"/>
      <c r="AD63" s="326"/>
      <c r="AE63" s="326"/>
      <c r="AF63" s="326"/>
      <c r="AG63" s="326"/>
      <c r="AH63" s="326"/>
      <c r="AI63" s="326"/>
      <c r="AJ63" s="326"/>
      <c r="AK63" s="326"/>
      <c r="AL63" s="326"/>
      <c r="AM63" s="326"/>
      <c r="AN63" s="326"/>
      <c r="AO63" s="326"/>
      <c r="AP63" s="326"/>
      <c r="AQ63" s="268">
        <f aca="true" t="shared" si="15" ref="AQ63:AR67">+AC63+AE63+AG63+AI63+AK63+AM63+AO63</f>
        <v>0</v>
      </c>
      <c r="AR63" s="269">
        <f t="shared" si="15"/>
        <v>0</v>
      </c>
      <c r="AS63" s="6"/>
      <c r="AT63" s="6"/>
      <c r="AU63" s="6"/>
      <c r="AV63" s="6"/>
      <c r="AW63" s="262"/>
      <c r="AX63" s="262"/>
      <c r="AY63" s="262"/>
      <c r="AZ63" s="262"/>
      <c r="BA63" s="262"/>
      <c r="BB63" s="262"/>
      <c r="BF63" s="6"/>
      <c r="BG63" s="6"/>
      <c r="BH63" s="6"/>
      <c r="BI63" s="6"/>
      <c r="BJ63" s="6"/>
      <c r="BK63" s="6"/>
      <c r="BL63" s="6"/>
      <c r="BM63" s="6"/>
      <c r="BN63" s="6"/>
      <c r="BO63" s="6"/>
      <c r="BP63" s="6"/>
      <c r="BQ63" s="6"/>
      <c r="BR63" s="6"/>
      <c r="BS63" s="6"/>
      <c r="BT63" s="6"/>
      <c r="BU63" s="6"/>
      <c r="BV63" s="6"/>
      <c r="BW63" s="6"/>
    </row>
    <row r="64" spans="1:54" s="258" customFormat="1" ht="22.5" customHeight="1">
      <c r="A64" s="251" t="s">
        <v>300</v>
      </c>
      <c r="B64" s="251" t="s">
        <v>301</v>
      </c>
      <c r="C64" s="251" t="s">
        <v>202</v>
      </c>
      <c r="D64" s="251" t="s">
        <v>203</v>
      </c>
      <c r="E64" s="251" t="s">
        <v>261</v>
      </c>
      <c r="F64" s="251" t="s">
        <v>204</v>
      </c>
      <c r="G64" s="252">
        <v>13</v>
      </c>
      <c r="H64" s="393">
        <v>886</v>
      </c>
      <c r="I64" s="439" t="s">
        <v>47</v>
      </c>
      <c r="J64" s="414"/>
      <c r="K64" s="399" t="s">
        <v>26</v>
      </c>
      <c r="L64" s="270"/>
      <c r="M64" s="396">
        <v>0</v>
      </c>
      <c r="N64" s="328" t="s">
        <v>302</v>
      </c>
      <c r="O64" s="329">
        <v>15</v>
      </c>
      <c r="P64" s="330">
        <v>15</v>
      </c>
      <c r="Q64" s="389">
        <f>SUMIF('Actividades inversión 886'!$B$13:$B$35,'Metas inversión 886'!$B64,'Actividades inversión 886'!M$13:M$35)</f>
        <v>3228600140</v>
      </c>
      <c r="R64" s="389">
        <f>SUMIF('Actividades inversión 886'!$B$13:$B$35,'Metas inversión 886'!$B64,'Actividades inversión 886'!N$13:N$35)</f>
        <v>2857131700</v>
      </c>
      <c r="S64" s="389">
        <f>SUMIF('Actividades inversión 886'!$B$13:$B$35,'Metas inversión 886'!$B64,'Actividades inversión 886'!O$13:O$35)</f>
        <v>2668220080</v>
      </c>
      <c r="T64" s="389">
        <f>SUMIF('Actividades inversión 886'!$B$13:$B$35,'Metas inversión 886'!$B64,'Actividades inversión 886'!P$13:P$35)</f>
        <v>682306933</v>
      </c>
      <c r="U64" s="389">
        <f>SUMIF('Actividades inversión 886'!$B$13:$B$35,'Metas inversión 886'!$B64,'Actividades inversión 886'!Q$13:Q$35)</f>
        <v>720915224</v>
      </c>
      <c r="V64" s="389">
        <f>SUMIF('Actividades inversión 886'!$B$13:$B$35,'Metas inversión 886'!$B64,'Actividades inversión 886'!R$13:R$35)</f>
        <v>613483442</v>
      </c>
      <c r="W64" s="431" t="s">
        <v>303</v>
      </c>
      <c r="X64" s="415" t="s">
        <v>304</v>
      </c>
      <c r="Y64" s="415" t="s">
        <v>305</v>
      </c>
      <c r="Z64" s="380"/>
      <c r="AA64" s="420"/>
      <c r="AB64" s="253" t="s">
        <v>287</v>
      </c>
      <c r="AC64" s="327"/>
      <c r="AD64" s="327"/>
      <c r="AE64" s="327"/>
      <c r="AF64" s="327"/>
      <c r="AG64" s="327"/>
      <c r="AH64" s="327"/>
      <c r="AI64" s="327"/>
      <c r="AJ64" s="327"/>
      <c r="AK64" s="327"/>
      <c r="AL64" s="327"/>
      <c r="AM64" s="327"/>
      <c r="AN64" s="327"/>
      <c r="AO64" s="327"/>
      <c r="AP64" s="327"/>
      <c r="AQ64" s="254">
        <f t="shared" si="15"/>
        <v>0</v>
      </c>
      <c r="AR64" s="255">
        <f t="shared" si="15"/>
        <v>0</v>
      </c>
      <c r="AW64" s="262">
        <f>+'[6]99-METROPOLITANO'!N62</f>
        <v>3228600140</v>
      </c>
      <c r="AX64" s="262">
        <f>+'[6]99-METROPOLITANO'!O62</f>
        <v>2857131700</v>
      </c>
      <c r="AY64" s="262">
        <f>+'[6]99-METROPOLITANO'!P62</f>
        <v>2668220080</v>
      </c>
      <c r="AZ64" s="262">
        <f>+'[6]99-METROPOLITANO'!Q62</f>
        <v>682306933</v>
      </c>
      <c r="BA64" s="262">
        <f>+'[6]99-METROPOLITANO'!R62</f>
        <v>720915224</v>
      </c>
      <c r="BB64" s="262">
        <f>+'[6]99-METROPOLITANO'!S62</f>
        <v>613483442</v>
      </c>
    </row>
    <row r="65" spans="1:54" s="258" customFormat="1" ht="51.75" customHeight="1">
      <c r="A65" s="251"/>
      <c r="B65" s="251"/>
      <c r="C65" s="251"/>
      <c r="D65" s="251"/>
      <c r="E65" s="251"/>
      <c r="F65" s="251"/>
      <c r="G65" s="252"/>
      <c r="H65" s="394"/>
      <c r="I65" s="440"/>
      <c r="J65" s="400"/>
      <c r="K65" s="400"/>
      <c r="L65" s="271"/>
      <c r="M65" s="397"/>
      <c r="N65" s="331" t="s">
        <v>306</v>
      </c>
      <c r="O65" s="332">
        <v>2</v>
      </c>
      <c r="P65" s="330">
        <v>2</v>
      </c>
      <c r="Q65" s="390"/>
      <c r="R65" s="390"/>
      <c r="S65" s="390"/>
      <c r="T65" s="390"/>
      <c r="U65" s="390"/>
      <c r="V65" s="390"/>
      <c r="W65" s="432"/>
      <c r="X65" s="416"/>
      <c r="Y65" s="418"/>
      <c r="Z65" s="381"/>
      <c r="AA65" s="421"/>
      <c r="AB65" s="259" t="s">
        <v>213</v>
      </c>
      <c r="AC65" s="325"/>
      <c r="AD65" s="325"/>
      <c r="AE65" s="325"/>
      <c r="AF65" s="325"/>
      <c r="AG65" s="325"/>
      <c r="AH65" s="325"/>
      <c r="AI65" s="325"/>
      <c r="AJ65" s="325"/>
      <c r="AK65" s="325"/>
      <c r="AL65" s="325"/>
      <c r="AM65" s="325"/>
      <c r="AN65" s="325"/>
      <c r="AO65" s="325"/>
      <c r="AP65" s="325"/>
      <c r="AQ65" s="260">
        <f t="shared" si="15"/>
        <v>0</v>
      </c>
      <c r="AR65" s="261">
        <f t="shared" si="15"/>
        <v>0</v>
      </c>
      <c r="AW65" s="333"/>
      <c r="AX65" s="333"/>
      <c r="AY65" s="333"/>
      <c r="AZ65" s="333"/>
      <c r="BA65" s="333"/>
      <c r="BB65" s="333"/>
    </row>
    <row r="66" spans="1:54" s="258" customFormat="1" ht="29.25" customHeight="1">
      <c r="A66" s="251"/>
      <c r="B66" s="251"/>
      <c r="C66" s="251"/>
      <c r="D66" s="251"/>
      <c r="E66" s="251"/>
      <c r="F66" s="251"/>
      <c r="G66" s="252"/>
      <c r="H66" s="394"/>
      <c r="I66" s="440"/>
      <c r="J66" s="400"/>
      <c r="K66" s="400"/>
      <c r="L66" s="271"/>
      <c r="M66" s="397"/>
      <c r="N66" s="331" t="s">
        <v>307</v>
      </c>
      <c r="O66" s="332">
        <v>16</v>
      </c>
      <c r="P66" s="330">
        <v>18</v>
      </c>
      <c r="Q66" s="390"/>
      <c r="R66" s="390"/>
      <c r="S66" s="390"/>
      <c r="T66" s="390"/>
      <c r="U66" s="390"/>
      <c r="V66" s="390"/>
      <c r="W66" s="432"/>
      <c r="X66" s="416"/>
      <c r="Y66" s="418"/>
      <c r="Z66" s="381"/>
      <c r="AA66" s="421"/>
      <c r="AB66" s="259" t="s">
        <v>214</v>
      </c>
      <c r="AC66" s="325"/>
      <c r="AD66" s="325"/>
      <c r="AE66" s="325"/>
      <c r="AF66" s="325"/>
      <c r="AG66" s="325"/>
      <c r="AH66" s="325"/>
      <c r="AI66" s="325"/>
      <c r="AJ66" s="325"/>
      <c r="AK66" s="325"/>
      <c r="AL66" s="325"/>
      <c r="AM66" s="325"/>
      <c r="AN66" s="325"/>
      <c r="AO66" s="325"/>
      <c r="AP66" s="325"/>
      <c r="AQ66" s="260">
        <f t="shared" si="15"/>
        <v>0</v>
      </c>
      <c r="AR66" s="261">
        <f t="shared" si="15"/>
        <v>0</v>
      </c>
      <c r="AW66" s="333"/>
      <c r="AX66" s="333"/>
      <c r="AY66" s="333"/>
      <c r="AZ66" s="333"/>
      <c r="BA66" s="333"/>
      <c r="BB66" s="333"/>
    </row>
    <row r="67" spans="1:54" s="258" customFormat="1" ht="14.25" customHeight="1">
      <c r="A67" s="251"/>
      <c r="B67" s="251"/>
      <c r="C67" s="251"/>
      <c r="D67" s="251"/>
      <c r="E67" s="251"/>
      <c r="F67" s="251"/>
      <c r="G67" s="252"/>
      <c r="H67" s="394"/>
      <c r="I67" s="440"/>
      <c r="J67" s="400"/>
      <c r="K67" s="400"/>
      <c r="L67" s="271"/>
      <c r="M67" s="397"/>
      <c r="N67" s="423" t="s">
        <v>308</v>
      </c>
      <c r="O67" s="425">
        <v>2</v>
      </c>
      <c r="P67" s="428">
        <v>0</v>
      </c>
      <c r="Q67" s="390"/>
      <c r="R67" s="390"/>
      <c r="S67" s="390"/>
      <c r="T67" s="390"/>
      <c r="U67" s="390"/>
      <c r="V67" s="390"/>
      <c r="W67" s="432"/>
      <c r="X67" s="416"/>
      <c r="Y67" s="418"/>
      <c r="Z67" s="381"/>
      <c r="AA67" s="421"/>
      <c r="AB67" s="259" t="s">
        <v>215</v>
      </c>
      <c r="AC67" s="325"/>
      <c r="AD67" s="325"/>
      <c r="AE67" s="325"/>
      <c r="AF67" s="325"/>
      <c r="AG67" s="325"/>
      <c r="AH67" s="325"/>
      <c r="AI67" s="325"/>
      <c r="AJ67" s="325"/>
      <c r="AK67" s="325"/>
      <c r="AL67" s="325"/>
      <c r="AM67" s="325"/>
      <c r="AN67" s="325"/>
      <c r="AO67" s="325"/>
      <c r="AP67" s="325"/>
      <c r="AQ67" s="260">
        <f t="shared" si="15"/>
        <v>0</v>
      </c>
      <c r="AR67" s="261">
        <f t="shared" si="15"/>
        <v>0</v>
      </c>
      <c r="AW67" s="333"/>
      <c r="AX67" s="333"/>
      <c r="AY67" s="333"/>
      <c r="AZ67" s="333"/>
      <c r="BA67" s="333"/>
      <c r="BB67" s="333"/>
    </row>
    <row r="68" spans="1:54" s="258" customFormat="1" ht="14.25" customHeight="1">
      <c r="A68" s="251"/>
      <c r="B68" s="251"/>
      <c r="C68" s="251"/>
      <c r="D68" s="251"/>
      <c r="E68" s="251"/>
      <c r="F68" s="251"/>
      <c r="G68" s="252"/>
      <c r="H68" s="394"/>
      <c r="I68" s="440"/>
      <c r="J68" s="400"/>
      <c r="K68" s="400"/>
      <c r="L68" s="271"/>
      <c r="M68" s="397"/>
      <c r="N68" s="423"/>
      <c r="O68" s="426"/>
      <c r="P68" s="429"/>
      <c r="Q68" s="390"/>
      <c r="R68" s="390"/>
      <c r="S68" s="390"/>
      <c r="T68" s="390"/>
      <c r="U68" s="390"/>
      <c r="V68" s="390"/>
      <c r="W68" s="432"/>
      <c r="X68" s="416"/>
      <c r="Y68" s="418"/>
      <c r="Z68" s="381"/>
      <c r="AA68" s="421"/>
      <c r="AB68" s="259"/>
      <c r="AC68" s="325"/>
      <c r="AD68" s="325"/>
      <c r="AE68" s="325"/>
      <c r="AF68" s="325"/>
      <c r="AG68" s="325"/>
      <c r="AH68" s="325"/>
      <c r="AI68" s="325"/>
      <c r="AJ68" s="325"/>
      <c r="AK68" s="325"/>
      <c r="AL68" s="325"/>
      <c r="AM68" s="325"/>
      <c r="AN68" s="325"/>
      <c r="AO68" s="325"/>
      <c r="AP68" s="325"/>
      <c r="AQ68" s="260"/>
      <c r="AR68" s="261"/>
      <c r="AW68" s="333"/>
      <c r="AX68" s="333"/>
      <c r="AY68" s="333"/>
      <c r="AZ68" s="333"/>
      <c r="BA68" s="333"/>
      <c r="BB68" s="333"/>
    </row>
    <row r="69" spans="1:54" s="258" customFormat="1" ht="6" customHeight="1">
      <c r="A69" s="251"/>
      <c r="B69" s="251"/>
      <c r="C69" s="251"/>
      <c r="D69" s="251"/>
      <c r="E69" s="251"/>
      <c r="F69" s="251"/>
      <c r="G69" s="252"/>
      <c r="H69" s="394"/>
      <c r="I69" s="440"/>
      <c r="J69" s="400"/>
      <c r="K69" s="400"/>
      <c r="L69" s="271"/>
      <c r="M69" s="397"/>
      <c r="N69" s="423"/>
      <c r="O69" s="426"/>
      <c r="P69" s="429"/>
      <c r="Q69" s="390"/>
      <c r="R69" s="390"/>
      <c r="S69" s="390"/>
      <c r="T69" s="390"/>
      <c r="U69" s="390"/>
      <c r="V69" s="390"/>
      <c r="W69" s="432"/>
      <c r="X69" s="416"/>
      <c r="Y69" s="418"/>
      <c r="Z69" s="381"/>
      <c r="AA69" s="421"/>
      <c r="AB69" s="259"/>
      <c r="AC69" s="325"/>
      <c r="AD69" s="325"/>
      <c r="AE69" s="325"/>
      <c r="AF69" s="325"/>
      <c r="AG69" s="325"/>
      <c r="AH69" s="325"/>
      <c r="AI69" s="325"/>
      <c r="AJ69" s="325"/>
      <c r="AK69" s="325"/>
      <c r="AL69" s="325"/>
      <c r="AM69" s="325"/>
      <c r="AN69" s="325"/>
      <c r="AO69" s="325"/>
      <c r="AP69" s="325"/>
      <c r="AQ69" s="260"/>
      <c r="AR69" s="261"/>
      <c r="AW69" s="333"/>
      <c r="AX69" s="333"/>
      <c r="AY69" s="333"/>
      <c r="AZ69" s="333"/>
      <c r="BA69" s="333"/>
      <c r="BB69" s="333"/>
    </row>
    <row r="70" spans="1:54" s="258" customFormat="1" ht="28.5" customHeight="1" hidden="1">
      <c r="A70" s="251"/>
      <c r="B70" s="251"/>
      <c r="C70" s="251"/>
      <c r="D70" s="251"/>
      <c r="E70" s="251"/>
      <c r="F70" s="251"/>
      <c r="G70" s="252"/>
      <c r="H70" s="394"/>
      <c r="I70" s="440"/>
      <c r="J70" s="400"/>
      <c r="K70" s="400"/>
      <c r="L70" s="271"/>
      <c r="M70" s="397"/>
      <c r="N70" s="423"/>
      <c r="O70" s="426"/>
      <c r="P70" s="429"/>
      <c r="Q70" s="390"/>
      <c r="R70" s="390"/>
      <c r="S70" s="390"/>
      <c r="T70" s="390"/>
      <c r="U70" s="390"/>
      <c r="V70" s="390"/>
      <c r="W70" s="432"/>
      <c r="X70" s="416"/>
      <c r="Y70" s="418"/>
      <c r="Z70" s="381"/>
      <c r="AA70" s="421"/>
      <c r="AB70" s="259"/>
      <c r="AC70" s="325"/>
      <c r="AD70" s="325"/>
      <c r="AE70" s="325"/>
      <c r="AF70" s="325"/>
      <c r="AG70" s="325"/>
      <c r="AH70" s="325"/>
      <c r="AI70" s="325"/>
      <c r="AJ70" s="325"/>
      <c r="AK70" s="325"/>
      <c r="AL70" s="325"/>
      <c r="AM70" s="325"/>
      <c r="AN70" s="325"/>
      <c r="AO70" s="325"/>
      <c r="AP70" s="325"/>
      <c r="AQ70" s="260"/>
      <c r="AR70" s="261"/>
      <c r="AW70" s="333"/>
      <c r="AX70" s="333"/>
      <c r="AY70" s="333"/>
      <c r="AZ70" s="333"/>
      <c r="BA70" s="333"/>
      <c r="BB70" s="333"/>
    </row>
    <row r="71" spans="1:54" s="258" customFormat="1" ht="14.25" customHeight="1" hidden="1">
      <c r="A71" s="251"/>
      <c r="B71" s="251"/>
      <c r="C71" s="251"/>
      <c r="D71" s="251"/>
      <c r="E71" s="251"/>
      <c r="F71" s="251"/>
      <c r="G71" s="252"/>
      <c r="H71" s="394"/>
      <c r="I71" s="440"/>
      <c r="J71" s="400"/>
      <c r="K71" s="400"/>
      <c r="L71" s="271"/>
      <c r="M71" s="397"/>
      <c r="N71" s="423"/>
      <c r="O71" s="426"/>
      <c r="P71" s="429"/>
      <c r="Q71" s="390"/>
      <c r="R71" s="390"/>
      <c r="S71" s="390"/>
      <c r="T71" s="390"/>
      <c r="U71" s="390"/>
      <c r="V71" s="390"/>
      <c r="W71" s="432"/>
      <c r="X71" s="416"/>
      <c r="Y71" s="418"/>
      <c r="Z71" s="381"/>
      <c r="AA71" s="421"/>
      <c r="AB71" s="259"/>
      <c r="AC71" s="325"/>
      <c r="AD71" s="325"/>
      <c r="AE71" s="325"/>
      <c r="AF71" s="325"/>
      <c r="AG71" s="325"/>
      <c r="AH71" s="325"/>
      <c r="AI71" s="325"/>
      <c r="AJ71" s="325"/>
      <c r="AK71" s="325"/>
      <c r="AL71" s="325"/>
      <c r="AM71" s="325"/>
      <c r="AN71" s="325"/>
      <c r="AO71" s="325"/>
      <c r="AP71" s="325"/>
      <c r="AQ71" s="260"/>
      <c r="AR71" s="261"/>
      <c r="AW71" s="333"/>
      <c r="AX71" s="333"/>
      <c r="AY71" s="333"/>
      <c r="AZ71" s="333"/>
      <c r="BA71" s="333"/>
      <c r="BB71" s="333"/>
    </row>
    <row r="72" spans="1:54" s="258" customFormat="1" ht="14.25" customHeight="1" hidden="1">
      <c r="A72" s="251"/>
      <c r="B72" s="251"/>
      <c r="C72" s="251"/>
      <c r="D72" s="251"/>
      <c r="E72" s="251"/>
      <c r="F72" s="251"/>
      <c r="G72" s="252"/>
      <c r="H72" s="394"/>
      <c r="I72" s="440"/>
      <c r="J72" s="400"/>
      <c r="K72" s="400"/>
      <c r="L72" s="271"/>
      <c r="M72" s="397"/>
      <c r="N72" s="423"/>
      <c r="O72" s="426"/>
      <c r="P72" s="429"/>
      <c r="Q72" s="390"/>
      <c r="R72" s="390"/>
      <c r="S72" s="390"/>
      <c r="T72" s="390"/>
      <c r="U72" s="390"/>
      <c r="V72" s="390"/>
      <c r="W72" s="432"/>
      <c r="X72" s="416"/>
      <c r="Y72" s="418"/>
      <c r="Z72" s="381"/>
      <c r="AA72" s="421"/>
      <c r="AB72" s="259"/>
      <c r="AC72" s="325"/>
      <c r="AD72" s="325"/>
      <c r="AE72" s="325"/>
      <c r="AF72" s="325"/>
      <c r="AG72" s="325"/>
      <c r="AH72" s="325"/>
      <c r="AI72" s="325"/>
      <c r="AJ72" s="325"/>
      <c r="AK72" s="325"/>
      <c r="AL72" s="325"/>
      <c r="AM72" s="325"/>
      <c r="AN72" s="325"/>
      <c r="AO72" s="325"/>
      <c r="AP72" s="325"/>
      <c r="AQ72" s="260"/>
      <c r="AR72" s="261"/>
      <c r="AW72" s="333"/>
      <c r="AX72" s="333"/>
      <c r="AY72" s="333"/>
      <c r="AZ72" s="333"/>
      <c r="BA72" s="333"/>
      <c r="BB72" s="333"/>
    </row>
    <row r="73" spans="1:54" s="258" customFormat="1" ht="0.75" customHeight="1">
      <c r="A73" s="251"/>
      <c r="B73" s="251"/>
      <c r="C73" s="251"/>
      <c r="D73" s="251"/>
      <c r="E73" s="251"/>
      <c r="F73" s="251"/>
      <c r="G73" s="252"/>
      <c r="H73" s="394"/>
      <c r="I73" s="440"/>
      <c r="J73" s="400"/>
      <c r="K73" s="400"/>
      <c r="L73" s="271"/>
      <c r="M73" s="397"/>
      <c r="N73" s="423"/>
      <c r="O73" s="426"/>
      <c r="P73" s="429"/>
      <c r="Q73" s="390"/>
      <c r="R73" s="390"/>
      <c r="S73" s="390"/>
      <c r="T73" s="390"/>
      <c r="U73" s="390"/>
      <c r="V73" s="390"/>
      <c r="W73" s="432"/>
      <c r="X73" s="416"/>
      <c r="Y73" s="418"/>
      <c r="Z73" s="381"/>
      <c r="AA73" s="421"/>
      <c r="AB73" s="259"/>
      <c r="AC73" s="325"/>
      <c r="AD73" s="325"/>
      <c r="AE73" s="325"/>
      <c r="AF73" s="325"/>
      <c r="AG73" s="325"/>
      <c r="AH73" s="325"/>
      <c r="AI73" s="325"/>
      <c r="AJ73" s="325"/>
      <c r="AK73" s="325"/>
      <c r="AL73" s="325"/>
      <c r="AM73" s="325"/>
      <c r="AN73" s="325"/>
      <c r="AO73" s="325"/>
      <c r="AP73" s="325"/>
      <c r="AQ73" s="260"/>
      <c r="AR73" s="261"/>
      <c r="AW73" s="333"/>
      <c r="AX73" s="333"/>
      <c r="AY73" s="333"/>
      <c r="AZ73" s="333"/>
      <c r="BA73" s="333"/>
      <c r="BB73" s="333"/>
    </row>
    <row r="74" spans="1:54" s="258" customFormat="1" ht="7.5" customHeight="1" hidden="1" thickBot="1">
      <c r="A74" s="251"/>
      <c r="B74" s="251"/>
      <c r="C74" s="251"/>
      <c r="D74" s="251"/>
      <c r="E74" s="251"/>
      <c r="F74" s="251"/>
      <c r="G74" s="252"/>
      <c r="H74" s="394"/>
      <c r="I74" s="440"/>
      <c r="J74" s="400"/>
      <c r="K74" s="400"/>
      <c r="L74" s="271"/>
      <c r="M74" s="397"/>
      <c r="N74" s="423"/>
      <c r="O74" s="426"/>
      <c r="P74" s="429"/>
      <c r="Q74" s="390"/>
      <c r="R74" s="390"/>
      <c r="S74" s="390"/>
      <c r="T74" s="390"/>
      <c r="U74" s="390"/>
      <c r="V74" s="390"/>
      <c r="W74" s="432"/>
      <c r="X74" s="416"/>
      <c r="Y74" s="418"/>
      <c r="Z74" s="381"/>
      <c r="AA74" s="421"/>
      <c r="AB74" s="259"/>
      <c r="AC74" s="325"/>
      <c r="AD74" s="325"/>
      <c r="AE74" s="325"/>
      <c r="AF74" s="325"/>
      <c r="AG74" s="325"/>
      <c r="AH74" s="325"/>
      <c r="AI74" s="325"/>
      <c r="AJ74" s="325"/>
      <c r="AK74" s="325"/>
      <c r="AL74" s="325"/>
      <c r="AM74" s="325"/>
      <c r="AN74" s="325"/>
      <c r="AO74" s="325"/>
      <c r="AP74" s="325"/>
      <c r="AQ74" s="260"/>
      <c r="AR74" s="261"/>
      <c r="AW74" s="333"/>
      <c r="AX74" s="333"/>
      <c r="AY74" s="333"/>
      <c r="AZ74" s="333"/>
      <c r="BA74" s="333"/>
      <c r="BB74" s="333"/>
    </row>
    <row r="75" spans="1:54" s="258" customFormat="1" ht="14.25" customHeight="1" hidden="1" thickBot="1">
      <c r="A75" s="251"/>
      <c r="B75" s="251"/>
      <c r="C75" s="251"/>
      <c r="D75" s="251"/>
      <c r="E75" s="251"/>
      <c r="F75" s="251"/>
      <c r="G75" s="252"/>
      <c r="H75" s="394"/>
      <c r="I75" s="440"/>
      <c r="J75" s="400"/>
      <c r="K75" s="400"/>
      <c r="L75" s="271"/>
      <c r="M75" s="397"/>
      <c r="N75" s="423"/>
      <c r="O75" s="426"/>
      <c r="P75" s="429"/>
      <c r="Q75" s="390"/>
      <c r="R75" s="390"/>
      <c r="S75" s="390"/>
      <c r="T75" s="390"/>
      <c r="U75" s="390"/>
      <c r="V75" s="390"/>
      <c r="W75" s="432"/>
      <c r="X75" s="416"/>
      <c r="Y75" s="418"/>
      <c r="Z75" s="381"/>
      <c r="AA75" s="421"/>
      <c r="AB75" s="259"/>
      <c r="AC75" s="325"/>
      <c r="AD75" s="325"/>
      <c r="AE75" s="325"/>
      <c r="AF75" s="325"/>
      <c r="AG75" s="325"/>
      <c r="AH75" s="325"/>
      <c r="AI75" s="325"/>
      <c r="AJ75" s="325"/>
      <c r="AK75" s="325"/>
      <c r="AL75" s="325"/>
      <c r="AM75" s="325"/>
      <c r="AN75" s="325"/>
      <c r="AO75" s="325"/>
      <c r="AP75" s="325"/>
      <c r="AQ75" s="260"/>
      <c r="AR75" s="261"/>
      <c r="AW75" s="333"/>
      <c r="AX75" s="333"/>
      <c r="AY75" s="333"/>
      <c r="AZ75" s="333"/>
      <c r="BA75" s="333"/>
      <c r="BB75" s="333"/>
    </row>
    <row r="76" spans="1:54" s="258" customFormat="1" ht="14.25" customHeight="1" hidden="1" thickBot="1">
      <c r="A76" s="251"/>
      <c r="B76" s="251"/>
      <c r="C76" s="251"/>
      <c r="D76" s="251"/>
      <c r="E76" s="251"/>
      <c r="F76" s="251"/>
      <c r="G76" s="252"/>
      <c r="H76" s="394"/>
      <c r="I76" s="440"/>
      <c r="J76" s="400"/>
      <c r="K76" s="400"/>
      <c r="L76" s="271"/>
      <c r="M76" s="397"/>
      <c r="N76" s="423"/>
      <c r="O76" s="426"/>
      <c r="P76" s="429"/>
      <c r="Q76" s="390"/>
      <c r="R76" s="390"/>
      <c r="S76" s="390"/>
      <c r="T76" s="390"/>
      <c r="U76" s="390"/>
      <c r="V76" s="390"/>
      <c r="W76" s="432"/>
      <c r="X76" s="416"/>
      <c r="Y76" s="418"/>
      <c r="Z76" s="381"/>
      <c r="AA76" s="421"/>
      <c r="AB76" s="259"/>
      <c r="AC76" s="325"/>
      <c r="AD76" s="325"/>
      <c r="AE76" s="325"/>
      <c r="AF76" s="325"/>
      <c r="AG76" s="325"/>
      <c r="AH76" s="325"/>
      <c r="AI76" s="325"/>
      <c r="AJ76" s="325"/>
      <c r="AK76" s="325"/>
      <c r="AL76" s="325"/>
      <c r="AM76" s="325"/>
      <c r="AN76" s="325"/>
      <c r="AO76" s="325"/>
      <c r="AP76" s="325"/>
      <c r="AQ76" s="260"/>
      <c r="AR76" s="261"/>
      <c r="AW76" s="333"/>
      <c r="AX76" s="333"/>
      <c r="AY76" s="333"/>
      <c r="AZ76" s="333"/>
      <c r="BA76" s="333"/>
      <c r="BB76" s="333"/>
    </row>
    <row r="77" spans="1:54" s="258" customFormat="1" ht="14.25" customHeight="1" hidden="1" thickBot="1">
      <c r="A77" s="251"/>
      <c r="B77" s="251"/>
      <c r="C77" s="251"/>
      <c r="D77" s="251"/>
      <c r="E77" s="251"/>
      <c r="F77" s="251"/>
      <c r="G77" s="252"/>
      <c r="H77" s="394"/>
      <c r="I77" s="440"/>
      <c r="J77" s="400"/>
      <c r="K77" s="400"/>
      <c r="L77" s="271"/>
      <c r="M77" s="397"/>
      <c r="N77" s="423"/>
      <c r="O77" s="426"/>
      <c r="P77" s="429"/>
      <c r="Q77" s="390"/>
      <c r="R77" s="390"/>
      <c r="S77" s="390"/>
      <c r="T77" s="390"/>
      <c r="U77" s="390"/>
      <c r="V77" s="390"/>
      <c r="W77" s="432"/>
      <c r="X77" s="416"/>
      <c r="Y77" s="418"/>
      <c r="Z77" s="381"/>
      <c r="AA77" s="421"/>
      <c r="AB77" s="259"/>
      <c r="AC77" s="325"/>
      <c r="AD77" s="325"/>
      <c r="AE77" s="325"/>
      <c r="AF77" s="325"/>
      <c r="AG77" s="325"/>
      <c r="AH77" s="325"/>
      <c r="AI77" s="325"/>
      <c r="AJ77" s="325"/>
      <c r="AK77" s="325"/>
      <c r="AL77" s="325"/>
      <c r="AM77" s="325"/>
      <c r="AN77" s="325"/>
      <c r="AO77" s="325"/>
      <c r="AP77" s="325"/>
      <c r="AQ77" s="260"/>
      <c r="AR77" s="261"/>
      <c r="AW77" s="333"/>
      <c r="AX77" s="333"/>
      <c r="AY77" s="333"/>
      <c r="AZ77" s="333"/>
      <c r="BA77" s="333"/>
      <c r="BB77" s="333"/>
    </row>
    <row r="78" spans="1:54" s="258" customFormat="1" ht="14.25" customHeight="1" hidden="1" thickBot="1">
      <c r="A78" s="251"/>
      <c r="B78" s="251"/>
      <c r="C78" s="251"/>
      <c r="D78" s="251"/>
      <c r="E78" s="251"/>
      <c r="F78" s="251"/>
      <c r="G78" s="252"/>
      <c r="H78" s="394"/>
      <c r="I78" s="440"/>
      <c r="J78" s="400"/>
      <c r="K78" s="400"/>
      <c r="L78" s="271"/>
      <c r="M78" s="397"/>
      <c r="N78" s="423"/>
      <c r="O78" s="426"/>
      <c r="P78" s="429"/>
      <c r="Q78" s="390"/>
      <c r="R78" s="390"/>
      <c r="S78" s="390"/>
      <c r="T78" s="390"/>
      <c r="U78" s="390"/>
      <c r="V78" s="390"/>
      <c r="W78" s="432"/>
      <c r="X78" s="416"/>
      <c r="Y78" s="418"/>
      <c r="Z78" s="381"/>
      <c r="AA78" s="421"/>
      <c r="AB78" s="259" t="s">
        <v>216</v>
      </c>
      <c r="AC78" s="325"/>
      <c r="AD78" s="325"/>
      <c r="AE78" s="325"/>
      <c r="AF78" s="325"/>
      <c r="AG78" s="325"/>
      <c r="AH78" s="325"/>
      <c r="AI78" s="325"/>
      <c r="AJ78" s="325"/>
      <c r="AK78" s="325"/>
      <c r="AL78" s="325"/>
      <c r="AM78" s="325"/>
      <c r="AN78" s="325"/>
      <c r="AO78" s="325"/>
      <c r="AP78" s="325"/>
      <c r="AQ78" s="260">
        <f>+AC78+AE78+AG78+AI78+AK78+AM78+AO78</f>
        <v>0</v>
      </c>
      <c r="AR78" s="261">
        <f>+AD78+AF78+AH78+AJ78+AL78+AN78+AP78</f>
        <v>0</v>
      </c>
      <c r="AW78" s="333"/>
      <c r="AX78" s="333"/>
      <c r="AY78" s="333"/>
      <c r="AZ78" s="333"/>
      <c r="BA78" s="333"/>
      <c r="BB78" s="333"/>
    </row>
    <row r="79" spans="1:54" s="258" customFormat="1" ht="4.5" customHeight="1" hidden="1" thickBot="1">
      <c r="A79" s="251"/>
      <c r="B79" s="251"/>
      <c r="C79" s="251"/>
      <c r="D79" s="251"/>
      <c r="E79" s="251"/>
      <c r="F79" s="251"/>
      <c r="G79" s="252"/>
      <c r="H79" s="395"/>
      <c r="I79" s="441"/>
      <c r="J79" s="401"/>
      <c r="K79" s="401"/>
      <c r="L79" s="272"/>
      <c r="M79" s="398"/>
      <c r="N79" s="424"/>
      <c r="O79" s="427"/>
      <c r="P79" s="430"/>
      <c r="Q79" s="391"/>
      <c r="R79" s="391"/>
      <c r="S79" s="391"/>
      <c r="T79" s="391"/>
      <c r="U79" s="391"/>
      <c r="V79" s="391"/>
      <c r="W79" s="433"/>
      <c r="X79" s="417"/>
      <c r="Y79" s="419"/>
      <c r="Z79" s="382"/>
      <c r="AA79" s="422"/>
      <c r="AB79" s="267" t="s">
        <v>290</v>
      </c>
      <c r="AC79" s="326"/>
      <c r="AD79" s="326"/>
      <c r="AE79" s="326"/>
      <c r="AF79" s="326"/>
      <c r="AG79" s="326"/>
      <c r="AH79" s="326"/>
      <c r="AI79" s="326"/>
      <c r="AJ79" s="326"/>
      <c r="AK79" s="326"/>
      <c r="AL79" s="326"/>
      <c r="AM79" s="326"/>
      <c r="AN79" s="326"/>
      <c r="AO79" s="326"/>
      <c r="AP79" s="326"/>
      <c r="AQ79" s="268">
        <f aca="true" t="shared" si="16" ref="AQ79:AR85">+AC79+AE79+AG79+AI79+AK79+AM79+AO79</f>
        <v>0</v>
      </c>
      <c r="AR79" s="269">
        <f t="shared" si="16"/>
        <v>0</v>
      </c>
      <c r="AW79" s="333"/>
      <c r="AX79" s="333"/>
      <c r="AY79" s="333"/>
      <c r="AZ79" s="333"/>
      <c r="BA79" s="333"/>
      <c r="BB79" s="333"/>
    </row>
    <row r="80" spans="1:54" s="336" customFormat="1" ht="14.25" customHeight="1" hidden="1">
      <c r="A80" s="334" t="s">
        <v>309</v>
      </c>
      <c r="B80" s="334" t="s">
        <v>310</v>
      </c>
      <c r="C80" s="334" t="s">
        <v>202</v>
      </c>
      <c r="D80" s="334" t="s">
        <v>203</v>
      </c>
      <c r="E80" s="334" t="s">
        <v>261</v>
      </c>
      <c r="F80" s="334" t="s">
        <v>261</v>
      </c>
      <c r="G80" s="335">
        <v>14</v>
      </c>
      <c r="H80" s="393">
        <v>886</v>
      </c>
      <c r="I80" s="396" t="s">
        <v>311</v>
      </c>
      <c r="J80" s="414"/>
      <c r="K80" s="399" t="s">
        <v>26</v>
      </c>
      <c r="L80" s="270"/>
      <c r="M80" s="396"/>
      <c r="N80" s="396" t="s">
        <v>312</v>
      </c>
      <c r="O80" s="411">
        <v>0.27</v>
      </c>
      <c r="P80" s="405">
        <v>0.27</v>
      </c>
      <c r="Q80" s="389">
        <f>SUMIF('Actividades inversión 886'!$B$13:$B$35,'Metas inversión 886'!$B80,'Actividades inversión 886'!M$13:M$35)</f>
        <v>0</v>
      </c>
      <c r="R80" s="389">
        <f>SUMIF('Actividades inversión 886'!$B$13:$B$35,'Metas inversión 886'!$B80,'Actividades inversión 886'!N$13:N$35)</f>
        <v>0</v>
      </c>
      <c r="S80" s="389">
        <f>SUMIF('Actividades inversión 886'!$B$13:$B$35,'Metas inversión 886'!$B80,'Actividades inversión 886'!O$13:O$35)</f>
        <v>0</v>
      </c>
      <c r="T80" s="389">
        <f>SUMIF('Actividades inversión 886'!$B$13:$B$35,'Metas inversión 886'!$B80,'Actividades inversión 886'!P$13:P$35)</f>
        <v>0</v>
      </c>
      <c r="U80" s="389">
        <f>SUMIF('Actividades inversión 886'!$B$13:$B$35,'Metas inversión 886'!$B80,'Actividades inversión 886'!Q$13:Q$35)</f>
        <v>0</v>
      </c>
      <c r="V80" s="389">
        <f>SUMIF('Actividades inversión 886'!$B$13:$B$35,'Metas inversión 886'!$B80,'Actividades inversión 886'!R$13:R$35)</f>
        <v>0</v>
      </c>
      <c r="W80" s="380"/>
      <c r="X80" s="380"/>
      <c r="Y80" s="380"/>
      <c r="Z80" s="380"/>
      <c r="AA80" s="409" t="s">
        <v>313</v>
      </c>
      <c r="AB80" s="253" t="s">
        <v>287</v>
      </c>
      <c r="AC80" s="327"/>
      <c r="AD80" s="327"/>
      <c r="AE80" s="327"/>
      <c r="AF80" s="327"/>
      <c r="AG80" s="327"/>
      <c r="AH80" s="327"/>
      <c r="AI80" s="327"/>
      <c r="AJ80" s="327"/>
      <c r="AK80" s="327"/>
      <c r="AL80" s="327"/>
      <c r="AM80" s="327"/>
      <c r="AN80" s="327"/>
      <c r="AO80" s="327"/>
      <c r="AP80" s="327"/>
      <c r="AQ80" s="254">
        <f t="shared" si="16"/>
        <v>0</v>
      </c>
      <c r="AR80" s="255">
        <f t="shared" si="16"/>
        <v>0</v>
      </c>
      <c r="AW80" s="262">
        <f>+'[6]99-METROPOLITANO'!N78</f>
        <v>0</v>
      </c>
      <c r="AX80" s="262">
        <f>+'[6]99-METROPOLITANO'!O78</f>
        <v>0</v>
      </c>
      <c r="AY80" s="262">
        <f>+'[6]99-METROPOLITANO'!P78</f>
        <v>0</v>
      </c>
      <c r="AZ80" s="262">
        <f>+'[6]99-METROPOLITANO'!Q78</f>
        <v>0</v>
      </c>
      <c r="BA80" s="262">
        <f>+'[6]99-METROPOLITANO'!R78</f>
        <v>3555200</v>
      </c>
      <c r="BB80" s="262">
        <f>+'[6]99-METROPOLITANO'!S78</f>
        <v>3555200</v>
      </c>
    </row>
    <row r="81" spans="1:54" s="336" customFormat="1" ht="14.25" customHeight="1" hidden="1">
      <c r="A81" s="334"/>
      <c r="B81" s="334"/>
      <c r="C81" s="334"/>
      <c r="D81" s="334"/>
      <c r="E81" s="334"/>
      <c r="F81" s="334"/>
      <c r="G81" s="335"/>
      <c r="H81" s="394"/>
      <c r="I81" s="397"/>
      <c r="J81" s="400"/>
      <c r="K81" s="400"/>
      <c r="L81" s="271"/>
      <c r="M81" s="397"/>
      <c r="N81" s="397"/>
      <c r="O81" s="412"/>
      <c r="P81" s="406"/>
      <c r="Q81" s="390"/>
      <c r="R81" s="390"/>
      <c r="S81" s="390"/>
      <c r="T81" s="390"/>
      <c r="U81" s="390"/>
      <c r="V81" s="390"/>
      <c r="W81" s="381"/>
      <c r="X81" s="381"/>
      <c r="Y81" s="381"/>
      <c r="Z81" s="383"/>
      <c r="AA81" s="410"/>
      <c r="AB81" s="259" t="s">
        <v>213</v>
      </c>
      <c r="AC81" s="325"/>
      <c r="AD81" s="325"/>
      <c r="AE81" s="325"/>
      <c r="AF81" s="325"/>
      <c r="AG81" s="325"/>
      <c r="AH81" s="325"/>
      <c r="AI81" s="325"/>
      <c r="AJ81" s="325"/>
      <c r="AK81" s="325"/>
      <c r="AL81" s="325"/>
      <c r="AM81" s="325"/>
      <c r="AN81" s="325"/>
      <c r="AO81" s="325"/>
      <c r="AP81" s="325"/>
      <c r="AQ81" s="260">
        <f t="shared" si="16"/>
        <v>0</v>
      </c>
      <c r="AR81" s="261">
        <f t="shared" si="16"/>
        <v>0</v>
      </c>
      <c r="AW81" s="337"/>
      <c r="AX81" s="337"/>
      <c r="AY81" s="337"/>
      <c r="AZ81" s="337"/>
      <c r="BA81" s="337"/>
      <c r="BB81" s="337"/>
    </row>
    <row r="82" spans="1:54" s="336" customFormat="1" ht="14.25" customHeight="1" hidden="1">
      <c r="A82" s="334"/>
      <c r="B82" s="334"/>
      <c r="C82" s="334"/>
      <c r="D82" s="334"/>
      <c r="E82" s="334"/>
      <c r="F82" s="334"/>
      <c r="G82" s="335"/>
      <c r="H82" s="394"/>
      <c r="I82" s="397"/>
      <c r="J82" s="400"/>
      <c r="K82" s="400"/>
      <c r="L82" s="271"/>
      <c r="M82" s="397"/>
      <c r="N82" s="397"/>
      <c r="O82" s="412"/>
      <c r="P82" s="406"/>
      <c r="Q82" s="390"/>
      <c r="R82" s="390"/>
      <c r="S82" s="390"/>
      <c r="T82" s="390"/>
      <c r="U82" s="390"/>
      <c r="V82" s="390"/>
      <c r="W82" s="381"/>
      <c r="X82" s="381"/>
      <c r="Y82" s="381"/>
      <c r="Z82" s="383"/>
      <c r="AA82" s="410"/>
      <c r="AB82" s="259" t="s">
        <v>214</v>
      </c>
      <c r="AC82" s="325"/>
      <c r="AD82" s="325"/>
      <c r="AE82" s="325"/>
      <c r="AF82" s="325"/>
      <c r="AG82" s="325"/>
      <c r="AH82" s="325"/>
      <c r="AI82" s="325"/>
      <c r="AJ82" s="325"/>
      <c r="AK82" s="325"/>
      <c r="AL82" s="325"/>
      <c r="AM82" s="325"/>
      <c r="AN82" s="325"/>
      <c r="AO82" s="325"/>
      <c r="AP82" s="325"/>
      <c r="AQ82" s="260">
        <f t="shared" si="16"/>
        <v>0</v>
      </c>
      <c r="AR82" s="261">
        <f t="shared" si="16"/>
        <v>0</v>
      </c>
      <c r="AW82" s="337"/>
      <c r="AX82" s="337"/>
      <c r="AY82" s="337"/>
      <c r="AZ82" s="337"/>
      <c r="BA82" s="337"/>
      <c r="BB82" s="337"/>
    </row>
    <row r="83" spans="1:54" s="336" customFormat="1" ht="14.25" customHeight="1" hidden="1">
      <c r="A83" s="334"/>
      <c r="B83" s="334"/>
      <c r="C83" s="334"/>
      <c r="D83" s="334"/>
      <c r="E83" s="334"/>
      <c r="F83" s="334"/>
      <c r="G83" s="335"/>
      <c r="H83" s="394"/>
      <c r="I83" s="397"/>
      <c r="J83" s="400"/>
      <c r="K83" s="400"/>
      <c r="L83" s="271"/>
      <c r="M83" s="397"/>
      <c r="N83" s="397"/>
      <c r="O83" s="412"/>
      <c r="P83" s="406"/>
      <c r="Q83" s="390"/>
      <c r="R83" s="390"/>
      <c r="S83" s="390"/>
      <c r="T83" s="390"/>
      <c r="U83" s="390"/>
      <c r="V83" s="390"/>
      <c r="W83" s="381"/>
      <c r="X83" s="381"/>
      <c r="Y83" s="381"/>
      <c r="Z83" s="383"/>
      <c r="AA83" s="410"/>
      <c r="AB83" s="259" t="s">
        <v>215</v>
      </c>
      <c r="AC83" s="325"/>
      <c r="AD83" s="325"/>
      <c r="AE83" s="325"/>
      <c r="AF83" s="325"/>
      <c r="AG83" s="325"/>
      <c r="AH83" s="325"/>
      <c r="AI83" s="325"/>
      <c r="AJ83" s="325"/>
      <c r="AK83" s="325"/>
      <c r="AL83" s="325"/>
      <c r="AM83" s="325"/>
      <c r="AN83" s="325"/>
      <c r="AO83" s="325"/>
      <c r="AP83" s="325"/>
      <c r="AQ83" s="260">
        <f t="shared" si="16"/>
        <v>0</v>
      </c>
      <c r="AR83" s="261">
        <f t="shared" si="16"/>
        <v>0</v>
      </c>
      <c r="AW83" s="337"/>
      <c r="AX83" s="337"/>
      <c r="AY83" s="337"/>
      <c r="AZ83" s="337"/>
      <c r="BA83" s="337"/>
      <c r="BB83" s="337"/>
    </row>
    <row r="84" spans="1:54" s="336" customFormat="1" ht="0.75" customHeight="1" hidden="1" thickBot="1">
      <c r="A84" s="334"/>
      <c r="B84" s="334"/>
      <c r="C84" s="334"/>
      <c r="D84" s="334"/>
      <c r="E84" s="334"/>
      <c r="F84" s="334"/>
      <c r="G84" s="335"/>
      <c r="H84" s="394"/>
      <c r="I84" s="397"/>
      <c r="J84" s="400"/>
      <c r="K84" s="400"/>
      <c r="L84" s="271"/>
      <c r="M84" s="397"/>
      <c r="N84" s="397"/>
      <c r="O84" s="412"/>
      <c r="P84" s="406"/>
      <c r="Q84" s="390"/>
      <c r="R84" s="390"/>
      <c r="S84" s="390"/>
      <c r="T84" s="390"/>
      <c r="U84" s="390"/>
      <c r="V84" s="390"/>
      <c r="W84" s="381"/>
      <c r="X84" s="381"/>
      <c r="Y84" s="381"/>
      <c r="Z84" s="383"/>
      <c r="AA84" s="387"/>
      <c r="AB84" s="259" t="s">
        <v>216</v>
      </c>
      <c r="AC84" s="325"/>
      <c r="AD84" s="325"/>
      <c r="AE84" s="325"/>
      <c r="AF84" s="325"/>
      <c r="AG84" s="325"/>
      <c r="AH84" s="325"/>
      <c r="AI84" s="325"/>
      <c r="AJ84" s="325"/>
      <c r="AK84" s="325"/>
      <c r="AL84" s="325"/>
      <c r="AM84" s="325"/>
      <c r="AN84" s="325"/>
      <c r="AO84" s="325"/>
      <c r="AP84" s="325"/>
      <c r="AQ84" s="260">
        <f t="shared" si="16"/>
        <v>0</v>
      </c>
      <c r="AR84" s="261">
        <f t="shared" si="16"/>
        <v>0</v>
      </c>
      <c r="AW84" s="337"/>
      <c r="AX84" s="337"/>
      <c r="AY84" s="337"/>
      <c r="AZ84" s="337"/>
      <c r="BA84" s="337"/>
      <c r="BB84" s="337"/>
    </row>
    <row r="85" spans="1:54" s="336" customFormat="1" ht="14.25" customHeight="1" hidden="1" thickBot="1">
      <c r="A85" s="334"/>
      <c r="B85" s="334"/>
      <c r="C85" s="334"/>
      <c r="D85" s="334"/>
      <c r="E85" s="334"/>
      <c r="F85" s="334"/>
      <c r="G85" s="335"/>
      <c r="H85" s="394"/>
      <c r="I85" s="397"/>
      <c r="J85" s="400"/>
      <c r="K85" s="400"/>
      <c r="L85" s="271"/>
      <c r="M85" s="397"/>
      <c r="N85" s="397"/>
      <c r="O85" s="412"/>
      <c r="P85" s="406"/>
      <c r="Q85" s="390"/>
      <c r="R85" s="390"/>
      <c r="S85" s="390"/>
      <c r="T85" s="390"/>
      <c r="U85" s="390"/>
      <c r="V85" s="390"/>
      <c r="W85" s="381"/>
      <c r="X85" s="381"/>
      <c r="Y85" s="381"/>
      <c r="Z85" s="383"/>
      <c r="AA85" s="388"/>
      <c r="AB85" s="263" t="s">
        <v>217</v>
      </c>
      <c r="AC85" s="325"/>
      <c r="AD85" s="325"/>
      <c r="AE85" s="325"/>
      <c r="AF85" s="325"/>
      <c r="AG85" s="325"/>
      <c r="AH85" s="325"/>
      <c r="AI85" s="325"/>
      <c r="AJ85" s="325"/>
      <c r="AK85" s="325"/>
      <c r="AL85" s="325"/>
      <c r="AM85" s="325"/>
      <c r="AN85" s="325"/>
      <c r="AO85" s="325"/>
      <c r="AP85" s="325"/>
      <c r="AQ85" s="260">
        <f t="shared" si="16"/>
        <v>0</v>
      </c>
      <c r="AR85" s="261">
        <f t="shared" si="16"/>
        <v>0</v>
      </c>
      <c r="AW85" s="337"/>
      <c r="AX85" s="337"/>
      <c r="AY85" s="337"/>
      <c r="AZ85" s="337"/>
      <c r="BA85" s="337"/>
      <c r="BB85" s="337"/>
    </row>
    <row r="86" spans="1:54" s="336" customFormat="1" ht="3" customHeight="1" hidden="1" thickBot="1">
      <c r="A86" s="334"/>
      <c r="B86" s="334"/>
      <c r="C86" s="334"/>
      <c r="D86" s="334"/>
      <c r="E86" s="334"/>
      <c r="F86" s="334"/>
      <c r="G86" s="335"/>
      <c r="H86" s="394"/>
      <c r="I86" s="397"/>
      <c r="J86" s="400"/>
      <c r="K86" s="400"/>
      <c r="L86" s="271"/>
      <c r="M86" s="397"/>
      <c r="N86" s="397"/>
      <c r="O86" s="412"/>
      <c r="P86" s="406"/>
      <c r="Q86" s="390"/>
      <c r="R86" s="390"/>
      <c r="S86" s="390"/>
      <c r="T86" s="390"/>
      <c r="U86" s="390"/>
      <c r="V86" s="390"/>
      <c r="W86" s="381"/>
      <c r="X86" s="381"/>
      <c r="Y86" s="381"/>
      <c r="Z86" s="383"/>
      <c r="AA86" s="388"/>
      <c r="AB86" s="264" t="s">
        <v>218</v>
      </c>
      <c r="AC86" s="265">
        <f aca="true" t="shared" si="17" ref="AC86:AR86">SUM(AC80:AC85)</f>
        <v>0</v>
      </c>
      <c r="AD86" s="265">
        <f t="shared" si="17"/>
        <v>0</v>
      </c>
      <c r="AE86" s="265">
        <f t="shared" si="17"/>
        <v>0</v>
      </c>
      <c r="AF86" s="265">
        <f t="shared" si="17"/>
        <v>0</v>
      </c>
      <c r="AG86" s="265">
        <f t="shared" si="17"/>
        <v>0</v>
      </c>
      <c r="AH86" s="265">
        <f t="shared" si="17"/>
        <v>0</v>
      </c>
      <c r="AI86" s="265">
        <f t="shared" si="17"/>
        <v>0</v>
      </c>
      <c r="AJ86" s="265">
        <f t="shared" si="17"/>
        <v>0</v>
      </c>
      <c r="AK86" s="265">
        <f t="shared" si="17"/>
        <v>0</v>
      </c>
      <c r="AL86" s="265">
        <f t="shared" si="17"/>
        <v>0</v>
      </c>
      <c r="AM86" s="265">
        <f t="shared" si="17"/>
        <v>0</v>
      </c>
      <c r="AN86" s="265">
        <f t="shared" si="17"/>
        <v>0</v>
      </c>
      <c r="AO86" s="265">
        <f t="shared" si="17"/>
        <v>0</v>
      </c>
      <c r="AP86" s="265">
        <f t="shared" si="17"/>
        <v>0</v>
      </c>
      <c r="AQ86" s="265">
        <f t="shared" si="17"/>
        <v>0</v>
      </c>
      <c r="AR86" s="266">
        <f t="shared" si="17"/>
        <v>0</v>
      </c>
      <c r="AW86" s="337"/>
      <c r="AX86" s="337"/>
      <c r="AY86" s="337"/>
      <c r="AZ86" s="337"/>
      <c r="BA86" s="337"/>
      <c r="BB86" s="337"/>
    </row>
    <row r="87" spans="1:54" s="336" customFormat="1" ht="14.25" customHeight="1" hidden="1" thickBot="1">
      <c r="A87" s="334"/>
      <c r="B87" s="334"/>
      <c r="C87" s="334"/>
      <c r="D87" s="334"/>
      <c r="E87" s="334"/>
      <c r="F87" s="334"/>
      <c r="G87" s="335"/>
      <c r="H87" s="394"/>
      <c r="I87" s="397"/>
      <c r="J87" s="400"/>
      <c r="K87" s="400"/>
      <c r="L87" s="271"/>
      <c r="M87" s="397"/>
      <c r="N87" s="397"/>
      <c r="O87" s="412"/>
      <c r="P87" s="406"/>
      <c r="Q87" s="390"/>
      <c r="R87" s="390"/>
      <c r="S87" s="390"/>
      <c r="T87" s="390"/>
      <c r="U87" s="390"/>
      <c r="V87" s="390"/>
      <c r="W87" s="381"/>
      <c r="X87" s="381"/>
      <c r="Y87" s="381"/>
      <c r="Z87" s="383"/>
      <c r="AA87" s="388"/>
      <c r="AB87" s="259" t="s">
        <v>219</v>
      </c>
      <c r="AC87" s="325"/>
      <c r="AD87" s="325"/>
      <c r="AE87" s="325"/>
      <c r="AF87" s="325"/>
      <c r="AG87" s="325"/>
      <c r="AH87" s="325"/>
      <c r="AI87" s="325"/>
      <c r="AJ87" s="325"/>
      <c r="AK87" s="325"/>
      <c r="AL87" s="325"/>
      <c r="AM87" s="325"/>
      <c r="AN87" s="325"/>
      <c r="AO87" s="325"/>
      <c r="AP87" s="325"/>
      <c r="AQ87" s="260">
        <f>+AC87+AE87+AG87+AI87+AK87+AM87+AO87</f>
        <v>0</v>
      </c>
      <c r="AR87" s="261">
        <f aca="true" t="shared" si="18" ref="AR87:AR93">+AD87+AF87+AH87+AJ87+AL87+AN87+AP87</f>
        <v>0</v>
      </c>
      <c r="AW87" s="337"/>
      <c r="AX87" s="337"/>
      <c r="AY87" s="337"/>
      <c r="AZ87" s="337"/>
      <c r="BA87" s="337"/>
      <c r="BB87" s="337"/>
    </row>
    <row r="88" spans="1:54" s="336" customFormat="1" ht="12" customHeight="1" hidden="1" thickBot="1">
      <c r="A88" s="334"/>
      <c r="B88" s="334"/>
      <c r="C88" s="334"/>
      <c r="D88" s="334"/>
      <c r="E88" s="334"/>
      <c r="F88" s="334"/>
      <c r="G88" s="335"/>
      <c r="H88" s="394"/>
      <c r="I88" s="397"/>
      <c r="J88" s="400"/>
      <c r="K88" s="400"/>
      <c r="L88" s="271"/>
      <c r="M88" s="397"/>
      <c r="N88" s="397"/>
      <c r="O88" s="412"/>
      <c r="P88" s="406"/>
      <c r="Q88" s="390"/>
      <c r="R88" s="390"/>
      <c r="S88" s="390"/>
      <c r="T88" s="390"/>
      <c r="U88" s="390"/>
      <c r="V88" s="390"/>
      <c r="W88" s="381"/>
      <c r="X88" s="381"/>
      <c r="Y88" s="381"/>
      <c r="Z88" s="383"/>
      <c r="AA88" s="387" t="s">
        <v>314</v>
      </c>
      <c r="AB88" s="259" t="s">
        <v>288</v>
      </c>
      <c r="AC88" s="325"/>
      <c r="AD88" s="325"/>
      <c r="AE88" s="325"/>
      <c r="AF88" s="325"/>
      <c r="AG88" s="325"/>
      <c r="AH88" s="325"/>
      <c r="AI88" s="325"/>
      <c r="AJ88" s="325"/>
      <c r="AK88" s="325"/>
      <c r="AL88" s="325"/>
      <c r="AM88" s="325"/>
      <c r="AN88" s="325"/>
      <c r="AO88" s="325"/>
      <c r="AP88" s="325"/>
      <c r="AQ88" s="260">
        <f aca="true" t="shared" si="19" ref="AQ88:AQ93">+AC88+AE88+AG88+AI88+AK88+AM88+AO88</f>
        <v>0</v>
      </c>
      <c r="AR88" s="261">
        <f t="shared" si="18"/>
        <v>0</v>
      </c>
      <c r="AW88" s="337"/>
      <c r="AX88" s="337"/>
      <c r="AY88" s="337"/>
      <c r="AZ88" s="337"/>
      <c r="BA88" s="337"/>
      <c r="BB88" s="337"/>
    </row>
    <row r="89" spans="1:54" s="336" customFormat="1" ht="14.25" customHeight="1" hidden="1" thickBot="1">
      <c r="A89" s="334"/>
      <c r="B89" s="334"/>
      <c r="C89" s="334"/>
      <c r="D89" s="334"/>
      <c r="E89" s="334"/>
      <c r="F89" s="334"/>
      <c r="G89" s="335"/>
      <c r="H89" s="394"/>
      <c r="I89" s="397"/>
      <c r="J89" s="400"/>
      <c r="K89" s="400"/>
      <c r="L89" s="271"/>
      <c r="M89" s="397"/>
      <c r="N89" s="397"/>
      <c r="O89" s="412"/>
      <c r="P89" s="406"/>
      <c r="Q89" s="390"/>
      <c r="R89" s="390"/>
      <c r="S89" s="390"/>
      <c r="T89" s="390"/>
      <c r="U89" s="390"/>
      <c r="V89" s="390"/>
      <c r="W89" s="381"/>
      <c r="X89" s="381"/>
      <c r="Y89" s="381"/>
      <c r="Z89" s="383"/>
      <c r="AA89" s="388"/>
      <c r="AB89" s="263" t="s">
        <v>221</v>
      </c>
      <c r="AC89" s="325"/>
      <c r="AD89" s="325"/>
      <c r="AE89" s="325"/>
      <c r="AF89" s="325"/>
      <c r="AG89" s="325"/>
      <c r="AH89" s="325"/>
      <c r="AI89" s="325"/>
      <c r="AJ89" s="325"/>
      <c r="AK89" s="325"/>
      <c r="AL89" s="325"/>
      <c r="AM89" s="325"/>
      <c r="AN89" s="325"/>
      <c r="AO89" s="325"/>
      <c r="AP89" s="325"/>
      <c r="AQ89" s="260">
        <f t="shared" si="19"/>
        <v>0</v>
      </c>
      <c r="AR89" s="261">
        <f t="shared" si="18"/>
        <v>0</v>
      </c>
      <c r="AW89" s="337"/>
      <c r="AX89" s="337"/>
      <c r="AY89" s="337"/>
      <c r="AZ89" s="337"/>
      <c r="BA89" s="337"/>
      <c r="BB89" s="337"/>
    </row>
    <row r="90" spans="1:54" s="336" customFormat="1" ht="14.25" customHeight="1" hidden="1" thickBot="1">
      <c r="A90" s="334"/>
      <c r="B90" s="334"/>
      <c r="C90" s="334"/>
      <c r="D90" s="334"/>
      <c r="E90" s="334"/>
      <c r="F90" s="334"/>
      <c r="G90" s="335"/>
      <c r="H90" s="394"/>
      <c r="I90" s="397"/>
      <c r="J90" s="400"/>
      <c r="K90" s="400"/>
      <c r="L90" s="271"/>
      <c r="M90" s="397"/>
      <c r="N90" s="397"/>
      <c r="O90" s="412"/>
      <c r="P90" s="406"/>
      <c r="Q90" s="390"/>
      <c r="R90" s="390"/>
      <c r="S90" s="390"/>
      <c r="T90" s="390"/>
      <c r="U90" s="390"/>
      <c r="V90" s="390"/>
      <c r="W90" s="381"/>
      <c r="X90" s="381"/>
      <c r="Y90" s="381"/>
      <c r="Z90" s="383"/>
      <c r="AA90" s="388"/>
      <c r="AB90" s="263" t="s">
        <v>222</v>
      </c>
      <c r="AC90" s="325"/>
      <c r="AD90" s="325"/>
      <c r="AE90" s="325"/>
      <c r="AF90" s="325"/>
      <c r="AG90" s="325"/>
      <c r="AH90" s="325"/>
      <c r="AI90" s="325"/>
      <c r="AJ90" s="325"/>
      <c r="AK90" s="325"/>
      <c r="AL90" s="325"/>
      <c r="AM90" s="325"/>
      <c r="AN90" s="325"/>
      <c r="AO90" s="325"/>
      <c r="AP90" s="325"/>
      <c r="AQ90" s="260">
        <f t="shared" si="19"/>
        <v>0</v>
      </c>
      <c r="AR90" s="261">
        <f t="shared" si="18"/>
        <v>0</v>
      </c>
      <c r="AW90" s="337"/>
      <c r="AX90" s="337"/>
      <c r="AY90" s="337"/>
      <c r="AZ90" s="337"/>
      <c r="BA90" s="337"/>
      <c r="BB90" s="337"/>
    </row>
    <row r="91" spans="1:54" s="336" customFormat="1" ht="4.5" customHeight="1" hidden="1" thickBot="1">
      <c r="A91" s="334"/>
      <c r="B91" s="334"/>
      <c r="C91" s="334"/>
      <c r="D91" s="334"/>
      <c r="E91" s="334"/>
      <c r="F91" s="334"/>
      <c r="G91" s="335"/>
      <c r="H91" s="394"/>
      <c r="I91" s="397"/>
      <c r="J91" s="400"/>
      <c r="K91" s="400"/>
      <c r="L91" s="271"/>
      <c r="M91" s="397"/>
      <c r="N91" s="397"/>
      <c r="O91" s="412"/>
      <c r="P91" s="406"/>
      <c r="Q91" s="390"/>
      <c r="R91" s="390"/>
      <c r="S91" s="390"/>
      <c r="T91" s="390"/>
      <c r="U91" s="390"/>
      <c r="V91" s="390"/>
      <c r="W91" s="381"/>
      <c r="X91" s="381"/>
      <c r="Y91" s="381"/>
      <c r="Z91" s="383"/>
      <c r="AA91" s="388"/>
      <c r="AB91" s="263" t="s">
        <v>223</v>
      </c>
      <c r="AC91" s="325"/>
      <c r="AD91" s="325"/>
      <c r="AE91" s="325"/>
      <c r="AF91" s="325"/>
      <c r="AG91" s="325"/>
      <c r="AH91" s="325"/>
      <c r="AI91" s="325"/>
      <c r="AJ91" s="325"/>
      <c r="AK91" s="325"/>
      <c r="AL91" s="325"/>
      <c r="AM91" s="325"/>
      <c r="AN91" s="325"/>
      <c r="AO91" s="325"/>
      <c r="AP91" s="325"/>
      <c r="AQ91" s="260">
        <f t="shared" si="19"/>
        <v>0</v>
      </c>
      <c r="AR91" s="261">
        <f t="shared" si="18"/>
        <v>0</v>
      </c>
      <c r="AW91" s="337"/>
      <c r="AX91" s="337"/>
      <c r="AY91" s="337"/>
      <c r="AZ91" s="337"/>
      <c r="BA91" s="337"/>
      <c r="BB91" s="337"/>
    </row>
    <row r="92" spans="1:54" s="336" customFormat="1" ht="14.25" customHeight="1" hidden="1" thickBot="1">
      <c r="A92" s="334"/>
      <c r="B92" s="334"/>
      <c r="C92" s="334"/>
      <c r="D92" s="334"/>
      <c r="E92" s="334"/>
      <c r="F92" s="334"/>
      <c r="G92" s="335"/>
      <c r="H92" s="394"/>
      <c r="I92" s="397"/>
      <c r="J92" s="400"/>
      <c r="K92" s="400"/>
      <c r="L92" s="271"/>
      <c r="M92" s="397"/>
      <c r="N92" s="397"/>
      <c r="O92" s="412"/>
      <c r="P92" s="406"/>
      <c r="Q92" s="390"/>
      <c r="R92" s="390"/>
      <c r="S92" s="390"/>
      <c r="T92" s="390"/>
      <c r="U92" s="390"/>
      <c r="V92" s="390"/>
      <c r="W92" s="381"/>
      <c r="X92" s="381"/>
      <c r="Y92" s="381"/>
      <c r="Z92" s="383"/>
      <c r="AA92" s="387" t="s">
        <v>314</v>
      </c>
      <c r="AB92" s="263" t="s">
        <v>224</v>
      </c>
      <c r="AC92" s="325"/>
      <c r="AD92" s="325"/>
      <c r="AE92" s="325"/>
      <c r="AF92" s="325"/>
      <c r="AG92" s="325"/>
      <c r="AH92" s="325"/>
      <c r="AI92" s="325"/>
      <c r="AJ92" s="325"/>
      <c r="AK92" s="325"/>
      <c r="AL92" s="325"/>
      <c r="AM92" s="325"/>
      <c r="AN92" s="325"/>
      <c r="AO92" s="325"/>
      <c r="AP92" s="325"/>
      <c r="AQ92" s="260">
        <f t="shared" si="19"/>
        <v>0</v>
      </c>
      <c r="AR92" s="261">
        <f t="shared" si="18"/>
        <v>0</v>
      </c>
      <c r="AW92" s="337"/>
      <c r="AX92" s="337"/>
      <c r="AY92" s="337"/>
      <c r="AZ92" s="337"/>
      <c r="BA92" s="337"/>
      <c r="BB92" s="337"/>
    </row>
    <row r="93" spans="1:54" s="336" customFormat="1" ht="14.25" customHeight="1" hidden="1" thickBot="1">
      <c r="A93" s="334"/>
      <c r="B93" s="334"/>
      <c r="C93" s="334"/>
      <c r="D93" s="334"/>
      <c r="E93" s="334"/>
      <c r="F93" s="334"/>
      <c r="G93" s="335"/>
      <c r="H93" s="394"/>
      <c r="I93" s="397"/>
      <c r="J93" s="400"/>
      <c r="K93" s="400"/>
      <c r="L93" s="271"/>
      <c r="M93" s="397"/>
      <c r="N93" s="397"/>
      <c r="O93" s="412"/>
      <c r="P93" s="406"/>
      <c r="Q93" s="390"/>
      <c r="R93" s="390"/>
      <c r="S93" s="390"/>
      <c r="T93" s="390"/>
      <c r="U93" s="390"/>
      <c r="V93" s="390"/>
      <c r="W93" s="381"/>
      <c r="X93" s="381"/>
      <c r="Y93" s="381"/>
      <c r="Z93" s="383"/>
      <c r="AA93" s="388"/>
      <c r="AB93" s="263" t="s">
        <v>225</v>
      </c>
      <c r="AC93" s="325"/>
      <c r="AD93" s="325"/>
      <c r="AE93" s="325"/>
      <c r="AF93" s="325"/>
      <c r="AG93" s="325"/>
      <c r="AH93" s="325"/>
      <c r="AI93" s="325"/>
      <c r="AJ93" s="325"/>
      <c r="AK93" s="325"/>
      <c r="AL93" s="325"/>
      <c r="AM93" s="325"/>
      <c r="AN93" s="325"/>
      <c r="AO93" s="325"/>
      <c r="AP93" s="325"/>
      <c r="AQ93" s="260">
        <f t="shared" si="19"/>
        <v>0</v>
      </c>
      <c r="AR93" s="261">
        <f t="shared" si="18"/>
        <v>0</v>
      </c>
      <c r="AW93" s="337"/>
      <c r="AX93" s="337"/>
      <c r="AY93" s="337"/>
      <c r="AZ93" s="337"/>
      <c r="BA93" s="337"/>
      <c r="BB93" s="337"/>
    </row>
    <row r="94" spans="1:54" s="336" customFormat="1" ht="14.25" customHeight="1" hidden="1" thickBot="1">
      <c r="A94" s="334"/>
      <c r="B94" s="334"/>
      <c r="C94" s="334"/>
      <c r="D94" s="334"/>
      <c r="E94" s="334"/>
      <c r="F94" s="334"/>
      <c r="G94" s="335"/>
      <c r="H94" s="394"/>
      <c r="I94" s="397"/>
      <c r="J94" s="400"/>
      <c r="K94" s="400"/>
      <c r="L94" s="271"/>
      <c r="M94" s="397"/>
      <c r="N94" s="397"/>
      <c r="O94" s="412"/>
      <c r="P94" s="406"/>
      <c r="Q94" s="390"/>
      <c r="R94" s="390"/>
      <c r="S94" s="390"/>
      <c r="T94" s="390"/>
      <c r="U94" s="390"/>
      <c r="V94" s="390"/>
      <c r="W94" s="381"/>
      <c r="X94" s="381"/>
      <c r="Y94" s="381"/>
      <c r="Z94" s="383"/>
      <c r="AA94" s="388"/>
      <c r="AB94" s="264" t="s">
        <v>289</v>
      </c>
      <c r="AC94" s="265">
        <f aca="true" t="shared" si="20" ref="AC94:AR94">SUM(AC88:AC93)+IF(AC86=0,AC87,AC86)</f>
        <v>0</v>
      </c>
      <c r="AD94" s="265">
        <f t="shared" si="20"/>
        <v>0</v>
      </c>
      <c r="AE94" s="265">
        <f t="shared" si="20"/>
        <v>0</v>
      </c>
      <c r="AF94" s="265">
        <f t="shared" si="20"/>
        <v>0</v>
      </c>
      <c r="AG94" s="265">
        <f t="shared" si="20"/>
        <v>0</v>
      </c>
      <c r="AH94" s="265">
        <f t="shared" si="20"/>
        <v>0</v>
      </c>
      <c r="AI94" s="265">
        <f t="shared" si="20"/>
        <v>0</v>
      </c>
      <c r="AJ94" s="265">
        <f t="shared" si="20"/>
        <v>0</v>
      </c>
      <c r="AK94" s="265">
        <f t="shared" si="20"/>
        <v>0</v>
      </c>
      <c r="AL94" s="265">
        <f t="shared" si="20"/>
        <v>0</v>
      </c>
      <c r="AM94" s="265">
        <f t="shared" si="20"/>
        <v>0</v>
      </c>
      <c r="AN94" s="265">
        <f t="shared" si="20"/>
        <v>0</v>
      </c>
      <c r="AO94" s="265">
        <f t="shared" si="20"/>
        <v>0</v>
      </c>
      <c r="AP94" s="265">
        <f t="shared" si="20"/>
        <v>0</v>
      </c>
      <c r="AQ94" s="265">
        <f t="shared" si="20"/>
        <v>0</v>
      </c>
      <c r="AR94" s="266">
        <f t="shared" si="20"/>
        <v>0</v>
      </c>
      <c r="AW94" s="337"/>
      <c r="AX94" s="337"/>
      <c r="AY94" s="337"/>
      <c r="AZ94" s="337"/>
      <c r="BA94" s="337"/>
      <c r="BB94" s="337"/>
    </row>
    <row r="95" spans="1:54" s="336" customFormat="1" ht="16.5" customHeight="1" hidden="1" thickBot="1">
      <c r="A95" s="334"/>
      <c r="B95" s="334"/>
      <c r="C95" s="334"/>
      <c r="D95" s="334"/>
      <c r="E95" s="334"/>
      <c r="F95" s="334"/>
      <c r="G95" s="335"/>
      <c r="H95" s="395"/>
      <c r="I95" s="398"/>
      <c r="J95" s="401"/>
      <c r="K95" s="401"/>
      <c r="L95" s="272"/>
      <c r="M95" s="398"/>
      <c r="N95" s="398"/>
      <c r="O95" s="413"/>
      <c r="P95" s="407"/>
      <c r="Q95" s="391"/>
      <c r="R95" s="391"/>
      <c r="S95" s="391"/>
      <c r="T95" s="391"/>
      <c r="U95" s="391"/>
      <c r="V95" s="391"/>
      <c r="W95" s="382"/>
      <c r="X95" s="382"/>
      <c r="Y95" s="382"/>
      <c r="Z95" s="384"/>
      <c r="AA95" s="388"/>
      <c r="AB95" s="267" t="s">
        <v>290</v>
      </c>
      <c r="AC95" s="326"/>
      <c r="AD95" s="326"/>
      <c r="AE95" s="326"/>
      <c r="AF95" s="326"/>
      <c r="AG95" s="326"/>
      <c r="AH95" s="326"/>
      <c r="AI95" s="326"/>
      <c r="AJ95" s="326"/>
      <c r="AK95" s="326"/>
      <c r="AL95" s="326"/>
      <c r="AM95" s="326"/>
      <c r="AN95" s="326"/>
      <c r="AO95" s="326"/>
      <c r="AP95" s="326"/>
      <c r="AQ95" s="268">
        <f aca="true" t="shared" si="21" ref="AQ95:AR101">+AC95+AE95+AG95+AI95+AK95+AM95+AO95</f>
        <v>0</v>
      </c>
      <c r="AR95" s="269">
        <f t="shared" si="21"/>
        <v>0</v>
      </c>
      <c r="AW95" s="337"/>
      <c r="AX95" s="337"/>
      <c r="AY95" s="337"/>
      <c r="AZ95" s="337"/>
      <c r="BA95" s="337"/>
      <c r="BB95" s="337"/>
    </row>
    <row r="96" spans="1:54" s="336" customFormat="1" ht="14.25" customHeight="1" hidden="1">
      <c r="A96" s="334" t="s">
        <v>315</v>
      </c>
      <c r="B96" s="334" t="s">
        <v>316</v>
      </c>
      <c r="C96" s="334" t="s">
        <v>202</v>
      </c>
      <c r="D96" s="334" t="s">
        <v>203</v>
      </c>
      <c r="E96" s="334" t="s">
        <v>261</v>
      </c>
      <c r="F96" s="334" t="s">
        <v>265</v>
      </c>
      <c r="G96" s="335">
        <v>8</v>
      </c>
      <c r="H96" s="393">
        <v>886</v>
      </c>
      <c r="I96" s="396" t="s">
        <v>33</v>
      </c>
      <c r="J96" s="399"/>
      <c r="K96" s="399" t="s">
        <v>26</v>
      </c>
      <c r="L96" s="270"/>
      <c r="M96" s="396"/>
      <c r="N96" s="396" t="s">
        <v>317</v>
      </c>
      <c r="O96" s="402">
        <v>0.4</v>
      </c>
      <c r="P96" s="405">
        <v>0.0787</v>
      </c>
      <c r="Q96" s="389">
        <f>SUMIF('Actividades inversión 886'!$B$13:$B$35,'Metas inversión 886'!$B96,'Actividades inversión 886'!M$13:M$35)</f>
        <v>0</v>
      </c>
      <c r="R96" s="389">
        <f>SUMIF('Actividades inversión 886'!$B$13:$B$35,'Metas inversión 886'!$B96,'Actividades inversión 886'!N$13:N$35)</f>
        <v>0</v>
      </c>
      <c r="S96" s="389">
        <f>SUMIF('Actividades inversión 886'!$B$13:$B$35,'Metas inversión 886'!$B96,'Actividades inversión 886'!O$13:O$35)</f>
        <v>0</v>
      </c>
      <c r="T96" s="389">
        <f>SUMIF('Actividades inversión 886'!$B$13:$B$35,'Metas inversión 886'!$B96,'Actividades inversión 886'!P$13:P$35)</f>
        <v>0</v>
      </c>
      <c r="U96" s="389">
        <f>SUMIF('Actividades inversión 886'!$B$13:$B$35,'Metas inversión 886'!$B96,'Actividades inversión 886'!Q$13:Q$35)</f>
        <v>0</v>
      </c>
      <c r="V96" s="389">
        <f>SUMIF('Actividades inversión 886'!$B$13:$B$35,'Metas inversión 886'!$B96,'Actividades inversión 886'!R$13:R$35)</f>
        <v>0</v>
      </c>
      <c r="W96" s="408" t="s">
        <v>318</v>
      </c>
      <c r="X96" s="380" t="s">
        <v>319</v>
      </c>
      <c r="Y96" s="380" t="s">
        <v>320</v>
      </c>
      <c r="Z96" s="380"/>
      <c r="AA96" s="380"/>
      <c r="AB96" s="253" t="s">
        <v>212</v>
      </c>
      <c r="AC96" s="327"/>
      <c r="AD96" s="327"/>
      <c r="AE96" s="327"/>
      <c r="AF96" s="327"/>
      <c r="AG96" s="327"/>
      <c r="AH96" s="327"/>
      <c r="AI96" s="327"/>
      <c r="AJ96" s="327"/>
      <c r="AK96" s="327"/>
      <c r="AL96" s="327"/>
      <c r="AM96" s="327"/>
      <c r="AN96" s="327"/>
      <c r="AO96" s="327"/>
      <c r="AP96" s="327"/>
      <c r="AQ96" s="254">
        <f t="shared" si="21"/>
        <v>0</v>
      </c>
      <c r="AR96" s="255">
        <f t="shared" si="21"/>
        <v>0</v>
      </c>
      <c r="AW96" s="262">
        <f>+'[6]99-METROPOLITANO'!N94</f>
        <v>274847000</v>
      </c>
      <c r="AX96" s="262">
        <f>+'[6]99-METROPOLITANO'!O94</f>
        <v>245368000</v>
      </c>
      <c r="AY96" s="262">
        <f>+'[6]99-METROPOLITANO'!P94</f>
        <v>153941000</v>
      </c>
      <c r="AZ96" s="262">
        <f>+'[6]99-METROPOLITANO'!Q94</f>
        <v>44125933</v>
      </c>
      <c r="BA96" s="262">
        <f>+'[6]99-METROPOLITANO'!R94</f>
        <v>34710467</v>
      </c>
      <c r="BB96" s="262">
        <f>+'[6]99-METROPOLITANO'!S94</f>
        <v>34710467</v>
      </c>
    </row>
    <row r="97" spans="1:54" s="336" customFormat="1" ht="14.25" customHeight="1" hidden="1">
      <c r="A97" s="334"/>
      <c r="B97" s="334"/>
      <c r="C97" s="334"/>
      <c r="D97" s="334"/>
      <c r="E97" s="334"/>
      <c r="F97" s="334"/>
      <c r="G97" s="335"/>
      <c r="H97" s="394"/>
      <c r="I97" s="397"/>
      <c r="J97" s="400"/>
      <c r="K97" s="400"/>
      <c r="L97" s="271"/>
      <c r="M97" s="397"/>
      <c r="N97" s="397"/>
      <c r="O97" s="403"/>
      <c r="P97" s="406"/>
      <c r="Q97" s="390"/>
      <c r="R97" s="390"/>
      <c r="S97" s="390"/>
      <c r="T97" s="390"/>
      <c r="U97" s="390"/>
      <c r="V97" s="390"/>
      <c r="W97" s="381"/>
      <c r="X97" s="381"/>
      <c r="Y97" s="381"/>
      <c r="Z97" s="381"/>
      <c r="AA97" s="381"/>
      <c r="AB97" s="259" t="s">
        <v>213</v>
      </c>
      <c r="AC97" s="325"/>
      <c r="AD97" s="325"/>
      <c r="AE97" s="325"/>
      <c r="AF97" s="325"/>
      <c r="AG97" s="325"/>
      <c r="AH97" s="325"/>
      <c r="AI97" s="325"/>
      <c r="AJ97" s="325"/>
      <c r="AK97" s="325"/>
      <c r="AL97" s="325"/>
      <c r="AM97" s="325"/>
      <c r="AN97" s="325"/>
      <c r="AO97" s="325"/>
      <c r="AP97" s="325"/>
      <c r="AQ97" s="260">
        <f t="shared" si="21"/>
        <v>0</v>
      </c>
      <c r="AR97" s="261">
        <f t="shared" si="21"/>
        <v>0</v>
      </c>
      <c r="AW97" s="337"/>
      <c r="AX97" s="337"/>
      <c r="AY97" s="337"/>
      <c r="AZ97" s="337"/>
      <c r="BA97" s="337"/>
      <c r="BB97" s="337"/>
    </row>
    <row r="98" spans="1:54" s="336" customFormat="1" ht="14.25" customHeight="1" hidden="1">
      <c r="A98" s="334"/>
      <c r="B98" s="334"/>
      <c r="C98" s="334"/>
      <c r="D98" s="334"/>
      <c r="E98" s="334"/>
      <c r="F98" s="334"/>
      <c r="G98" s="335"/>
      <c r="H98" s="394"/>
      <c r="I98" s="397"/>
      <c r="J98" s="400"/>
      <c r="K98" s="400"/>
      <c r="L98" s="271"/>
      <c r="M98" s="397"/>
      <c r="N98" s="397"/>
      <c r="O98" s="403"/>
      <c r="P98" s="406"/>
      <c r="Q98" s="390"/>
      <c r="R98" s="390"/>
      <c r="S98" s="390"/>
      <c r="T98" s="390"/>
      <c r="U98" s="390"/>
      <c r="V98" s="390"/>
      <c r="W98" s="381"/>
      <c r="X98" s="381"/>
      <c r="Y98" s="381"/>
      <c r="Z98" s="381"/>
      <c r="AA98" s="381"/>
      <c r="AB98" s="259" t="s">
        <v>214</v>
      </c>
      <c r="AC98" s="325"/>
      <c r="AD98" s="325"/>
      <c r="AE98" s="325"/>
      <c r="AF98" s="325"/>
      <c r="AG98" s="325"/>
      <c r="AH98" s="325"/>
      <c r="AI98" s="325"/>
      <c r="AJ98" s="325"/>
      <c r="AK98" s="325"/>
      <c r="AL98" s="325"/>
      <c r="AM98" s="325"/>
      <c r="AN98" s="325"/>
      <c r="AO98" s="325"/>
      <c r="AP98" s="325"/>
      <c r="AQ98" s="260">
        <f t="shared" si="21"/>
        <v>0</v>
      </c>
      <c r="AR98" s="261">
        <f t="shared" si="21"/>
        <v>0</v>
      </c>
      <c r="AW98" s="337"/>
      <c r="AX98" s="337"/>
      <c r="AY98" s="337"/>
      <c r="AZ98" s="337"/>
      <c r="BA98" s="337"/>
      <c r="BB98" s="337"/>
    </row>
    <row r="99" spans="1:54" s="336" customFormat="1" ht="14.25" customHeight="1" hidden="1">
      <c r="A99" s="334"/>
      <c r="B99" s="334"/>
      <c r="C99" s="334"/>
      <c r="D99" s="334"/>
      <c r="E99" s="334"/>
      <c r="F99" s="334"/>
      <c r="G99" s="335"/>
      <c r="H99" s="394"/>
      <c r="I99" s="397"/>
      <c r="J99" s="400"/>
      <c r="K99" s="400"/>
      <c r="L99" s="271"/>
      <c r="M99" s="397"/>
      <c r="N99" s="397"/>
      <c r="O99" s="403"/>
      <c r="P99" s="406"/>
      <c r="Q99" s="390"/>
      <c r="R99" s="390"/>
      <c r="S99" s="390"/>
      <c r="T99" s="390"/>
      <c r="U99" s="390"/>
      <c r="V99" s="390"/>
      <c r="W99" s="381"/>
      <c r="X99" s="381"/>
      <c r="Y99" s="381"/>
      <c r="Z99" s="381"/>
      <c r="AA99" s="381"/>
      <c r="AB99" s="259" t="s">
        <v>215</v>
      </c>
      <c r="AC99" s="325"/>
      <c r="AD99" s="325"/>
      <c r="AE99" s="325"/>
      <c r="AF99" s="325"/>
      <c r="AG99" s="325"/>
      <c r="AH99" s="325"/>
      <c r="AI99" s="325"/>
      <c r="AJ99" s="325"/>
      <c r="AK99" s="325"/>
      <c r="AL99" s="325"/>
      <c r="AM99" s="325"/>
      <c r="AN99" s="325"/>
      <c r="AO99" s="325"/>
      <c r="AP99" s="325"/>
      <c r="AQ99" s="260">
        <f t="shared" si="21"/>
        <v>0</v>
      </c>
      <c r="AR99" s="261">
        <f t="shared" si="21"/>
        <v>0</v>
      </c>
      <c r="AW99" s="337"/>
      <c r="AX99" s="337"/>
      <c r="AY99" s="337"/>
      <c r="AZ99" s="337"/>
      <c r="BA99" s="337"/>
      <c r="BB99" s="337"/>
    </row>
    <row r="100" spans="1:54" s="336" customFormat="1" ht="14.25" customHeight="1" hidden="1">
      <c r="A100" s="334"/>
      <c r="B100" s="334"/>
      <c r="C100" s="334"/>
      <c r="D100" s="334"/>
      <c r="E100" s="334"/>
      <c r="F100" s="334"/>
      <c r="G100" s="335"/>
      <c r="H100" s="394"/>
      <c r="I100" s="397"/>
      <c r="J100" s="400"/>
      <c r="K100" s="400"/>
      <c r="L100" s="271"/>
      <c r="M100" s="397"/>
      <c r="N100" s="397"/>
      <c r="O100" s="403"/>
      <c r="P100" s="406"/>
      <c r="Q100" s="390"/>
      <c r="R100" s="390"/>
      <c r="S100" s="390"/>
      <c r="T100" s="390"/>
      <c r="U100" s="390"/>
      <c r="V100" s="390"/>
      <c r="W100" s="381"/>
      <c r="X100" s="381"/>
      <c r="Y100" s="381"/>
      <c r="Z100" s="381"/>
      <c r="AA100" s="381"/>
      <c r="AB100" s="259" t="s">
        <v>216</v>
      </c>
      <c r="AC100" s="325"/>
      <c r="AD100" s="325"/>
      <c r="AE100" s="325"/>
      <c r="AF100" s="325"/>
      <c r="AG100" s="325"/>
      <c r="AH100" s="325"/>
      <c r="AI100" s="325"/>
      <c r="AJ100" s="325"/>
      <c r="AK100" s="325"/>
      <c r="AL100" s="325"/>
      <c r="AM100" s="325"/>
      <c r="AN100" s="325"/>
      <c r="AO100" s="325"/>
      <c r="AP100" s="325"/>
      <c r="AQ100" s="260">
        <f t="shared" si="21"/>
        <v>0</v>
      </c>
      <c r="AR100" s="261">
        <f t="shared" si="21"/>
        <v>0</v>
      </c>
      <c r="AW100" s="337"/>
      <c r="AX100" s="337"/>
      <c r="AY100" s="337"/>
      <c r="AZ100" s="337"/>
      <c r="BA100" s="337"/>
      <c r="BB100" s="337"/>
    </row>
    <row r="101" spans="1:54" s="336" customFormat="1" ht="9" customHeight="1" hidden="1" thickBot="1">
      <c r="A101" s="334"/>
      <c r="B101" s="334"/>
      <c r="C101" s="334"/>
      <c r="D101" s="334"/>
      <c r="E101" s="334"/>
      <c r="F101" s="334"/>
      <c r="G101" s="335"/>
      <c r="H101" s="394"/>
      <c r="I101" s="397"/>
      <c r="J101" s="400"/>
      <c r="K101" s="400"/>
      <c r="L101" s="271"/>
      <c r="M101" s="397"/>
      <c r="N101" s="397"/>
      <c r="O101" s="403"/>
      <c r="P101" s="406"/>
      <c r="Q101" s="390"/>
      <c r="R101" s="390"/>
      <c r="S101" s="390"/>
      <c r="T101" s="390"/>
      <c r="U101" s="390"/>
      <c r="V101" s="390"/>
      <c r="W101" s="381"/>
      <c r="X101" s="381"/>
      <c r="Y101" s="381"/>
      <c r="Z101" s="381"/>
      <c r="AA101" s="381"/>
      <c r="AB101" s="263" t="s">
        <v>217</v>
      </c>
      <c r="AC101" s="325"/>
      <c r="AD101" s="325"/>
      <c r="AE101" s="325"/>
      <c r="AF101" s="325"/>
      <c r="AG101" s="325"/>
      <c r="AH101" s="325"/>
      <c r="AI101" s="325"/>
      <c r="AJ101" s="325"/>
      <c r="AK101" s="325"/>
      <c r="AL101" s="325"/>
      <c r="AM101" s="325"/>
      <c r="AN101" s="325"/>
      <c r="AO101" s="325"/>
      <c r="AP101" s="325"/>
      <c r="AQ101" s="260">
        <f t="shared" si="21"/>
        <v>0</v>
      </c>
      <c r="AR101" s="261">
        <f t="shared" si="21"/>
        <v>0</v>
      </c>
      <c r="AW101" s="337"/>
      <c r="AX101" s="337"/>
      <c r="AY101" s="337"/>
      <c r="AZ101" s="337"/>
      <c r="BA101" s="337"/>
      <c r="BB101" s="337"/>
    </row>
    <row r="102" spans="1:54" s="336" customFormat="1" ht="5.25" customHeight="1" hidden="1" thickBot="1">
      <c r="A102" s="334"/>
      <c r="B102" s="334"/>
      <c r="C102" s="334"/>
      <c r="D102" s="334"/>
      <c r="E102" s="334"/>
      <c r="F102" s="334"/>
      <c r="G102" s="335"/>
      <c r="H102" s="394"/>
      <c r="I102" s="397"/>
      <c r="J102" s="400"/>
      <c r="K102" s="400"/>
      <c r="L102" s="271"/>
      <c r="M102" s="397"/>
      <c r="N102" s="397"/>
      <c r="O102" s="403"/>
      <c r="P102" s="406"/>
      <c r="Q102" s="390"/>
      <c r="R102" s="390"/>
      <c r="S102" s="390"/>
      <c r="T102" s="390"/>
      <c r="U102" s="390"/>
      <c r="V102" s="390"/>
      <c r="W102" s="381"/>
      <c r="X102" s="381"/>
      <c r="Y102" s="381"/>
      <c r="Z102" s="381"/>
      <c r="AA102" s="381"/>
      <c r="AB102" s="264" t="s">
        <v>218</v>
      </c>
      <c r="AC102" s="265">
        <f aca="true" t="shared" si="22" ref="AC102:AR102">SUM(AC96:AC101)</f>
        <v>0</v>
      </c>
      <c r="AD102" s="265">
        <f t="shared" si="22"/>
        <v>0</v>
      </c>
      <c r="AE102" s="265">
        <f t="shared" si="22"/>
        <v>0</v>
      </c>
      <c r="AF102" s="265">
        <f t="shared" si="22"/>
        <v>0</v>
      </c>
      <c r="AG102" s="265">
        <f t="shared" si="22"/>
        <v>0</v>
      </c>
      <c r="AH102" s="265">
        <f t="shared" si="22"/>
        <v>0</v>
      </c>
      <c r="AI102" s="265">
        <f t="shared" si="22"/>
        <v>0</v>
      </c>
      <c r="AJ102" s="265">
        <f t="shared" si="22"/>
        <v>0</v>
      </c>
      <c r="AK102" s="265">
        <f t="shared" si="22"/>
        <v>0</v>
      </c>
      <c r="AL102" s="265">
        <f t="shared" si="22"/>
        <v>0</v>
      </c>
      <c r="AM102" s="265">
        <f t="shared" si="22"/>
        <v>0</v>
      </c>
      <c r="AN102" s="265">
        <f t="shared" si="22"/>
        <v>0</v>
      </c>
      <c r="AO102" s="265">
        <f t="shared" si="22"/>
        <v>0</v>
      </c>
      <c r="AP102" s="265">
        <f t="shared" si="22"/>
        <v>0</v>
      </c>
      <c r="AQ102" s="265">
        <f t="shared" si="22"/>
        <v>0</v>
      </c>
      <c r="AR102" s="266">
        <f t="shared" si="22"/>
        <v>0</v>
      </c>
      <c r="AW102" s="337"/>
      <c r="AX102" s="337"/>
      <c r="AY102" s="337"/>
      <c r="AZ102" s="337"/>
      <c r="BA102" s="337"/>
      <c r="BB102" s="337"/>
    </row>
    <row r="103" spans="1:54" s="336" customFormat="1" ht="14.25" customHeight="1" hidden="1" thickBot="1">
      <c r="A103" s="334"/>
      <c r="B103" s="334"/>
      <c r="C103" s="334"/>
      <c r="D103" s="334"/>
      <c r="E103" s="334"/>
      <c r="F103" s="334"/>
      <c r="G103" s="335"/>
      <c r="H103" s="394"/>
      <c r="I103" s="397"/>
      <c r="J103" s="400"/>
      <c r="K103" s="400"/>
      <c r="L103" s="271"/>
      <c r="M103" s="397"/>
      <c r="N103" s="397"/>
      <c r="O103" s="403"/>
      <c r="P103" s="406"/>
      <c r="Q103" s="390"/>
      <c r="R103" s="390"/>
      <c r="S103" s="390"/>
      <c r="T103" s="390"/>
      <c r="U103" s="390"/>
      <c r="V103" s="390"/>
      <c r="W103" s="381"/>
      <c r="X103" s="381"/>
      <c r="Y103" s="381"/>
      <c r="Z103" s="381"/>
      <c r="AA103" s="381"/>
      <c r="AB103" s="259" t="s">
        <v>219</v>
      </c>
      <c r="AC103" s="325"/>
      <c r="AD103" s="325"/>
      <c r="AE103" s="325"/>
      <c r="AF103" s="325"/>
      <c r="AG103" s="325"/>
      <c r="AH103" s="325"/>
      <c r="AI103" s="325"/>
      <c r="AJ103" s="325"/>
      <c r="AK103" s="325"/>
      <c r="AL103" s="325"/>
      <c r="AM103" s="325"/>
      <c r="AN103" s="325"/>
      <c r="AO103" s="325"/>
      <c r="AP103" s="325"/>
      <c r="AQ103" s="260">
        <f>+AC103+AE103+AG103+AI103+AK103+AM103+AO103</f>
        <v>0</v>
      </c>
      <c r="AR103" s="261">
        <f aca="true" t="shared" si="23" ref="AR103:AR109">+AD103+AF103+AH103+AJ103+AL103+AN103+AP103</f>
        <v>0</v>
      </c>
      <c r="AW103" s="337"/>
      <c r="AX103" s="337"/>
      <c r="AY103" s="337"/>
      <c r="AZ103" s="337"/>
      <c r="BA103" s="337"/>
      <c r="BB103" s="337"/>
    </row>
    <row r="104" spans="1:54" s="336" customFormat="1" ht="14.25" customHeight="1" hidden="1" thickBot="1">
      <c r="A104" s="334"/>
      <c r="B104" s="334"/>
      <c r="C104" s="334"/>
      <c r="D104" s="334"/>
      <c r="E104" s="334"/>
      <c r="F104" s="334"/>
      <c r="G104" s="335"/>
      <c r="H104" s="394"/>
      <c r="I104" s="397"/>
      <c r="J104" s="400"/>
      <c r="K104" s="400"/>
      <c r="L104" s="271"/>
      <c r="M104" s="397"/>
      <c r="N104" s="397"/>
      <c r="O104" s="403"/>
      <c r="P104" s="406"/>
      <c r="Q104" s="390"/>
      <c r="R104" s="390"/>
      <c r="S104" s="390"/>
      <c r="T104" s="390"/>
      <c r="U104" s="390"/>
      <c r="V104" s="390"/>
      <c r="W104" s="381"/>
      <c r="X104" s="381"/>
      <c r="Y104" s="381"/>
      <c r="Z104" s="381"/>
      <c r="AA104" s="381"/>
      <c r="AB104" s="259" t="s">
        <v>220</v>
      </c>
      <c r="AC104" s="325"/>
      <c r="AD104" s="325"/>
      <c r="AE104" s="325"/>
      <c r="AF104" s="325"/>
      <c r="AG104" s="325"/>
      <c r="AH104" s="325"/>
      <c r="AI104" s="325"/>
      <c r="AJ104" s="325"/>
      <c r="AK104" s="325"/>
      <c r="AL104" s="325"/>
      <c r="AM104" s="325"/>
      <c r="AN104" s="325"/>
      <c r="AO104" s="325"/>
      <c r="AP104" s="325"/>
      <c r="AQ104" s="260">
        <f aca="true" t="shared" si="24" ref="AQ104:AQ109">+AC104+AE104+AG104+AI104+AK104+AM104+AO104</f>
        <v>0</v>
      </c>
      <c r="AR104" s="261">
        <f t="shared" si="23"/>
        <v>0</v>
      </c>
      <c r="AW104" s="337"/>
      <c r="AX104" s="337"/>
      <c r="AY104" s="337"/>
      <c r="AZ104" s="337"/>
      <c r="BA104" s="337"/>
      <c r="BB104" s="337"/>
    </row>
    <row r="105" spans="1:54" s="336" customFormat="1" ht="14.25" customHeight="1" hidden="1" thickBot="1">
      <c r="A105" s="334"/>
      <c r="B105" s="334"/>
      <c r="C105" s="334"/>
      <c r="D105" s="334"/>
      <c r="E105" s="334"/>
      <c r="F105" s="334"/>
      <c r="G105" s="335"/>
      <c r="H105" s="394"/>
      <c r="I105" s="397"/>
      <c r="J105" s="400"/>
      <c r="K105" s="400"/>
      <c r="L105" s="271"/>
      <c r="M105" s="397"/>
      <c r="N105" s="397"/>
      <c r="O105" s="403"/>
      <c r="P105" s="406"/>
      <c r="Q105" s="390"/>
      <c r="R105" s="390"/>
      <c r="S105" s="390"/>
      <c r="T105" s="390"/>
      <c r="U105" s="390"/>
      <c r="V105" s="390"/>
      <c r="W105" s="381"/>
      <c r="X105" s="381"/>
      <c r="Y105" s="381"/>
      <c r="Z105" s="381"/>
      <c r="AA105" s="381"/>
      <c r="AB105" s="263" t="s">
        <v>221</v>
      </c>
      <c r="AC105" s="325"/>
      <c r="AD105" s="325"/>
      <c r="AE105" s="325"/>
      <c r="AF105" s="325"/>
      <c r="AG105" s="325"/>
      <c r="AH105" s="325"/>
      <c r="AI105" s="325"/>
      <c r="AJ105" s="325"/>
      <c r="AK105" s="325"/>
      <c r="AL105" s="325"/>
      <c r="AM105" s="325"/>
      <c r="AN105" s="325"/>
      <c r="AO105" s="325"/>
      <c r="AP105" s="325"/>
      <c r="AQ105" s="260">
        <f t="shared" si="24"/>
        <v>0</v>
      </c>
      <c r="AR105" s="261">
        <f t="shared" si="23"/>
        <v>0</v>
      </c>
      <c r="AW105" s="337"/>
      <c r="AX105" s="337"/>
      <c r="AY105" s="337"/>
      <c r="AZ105" s="337"/>
      <c r="BA105" s="337"/>
      <c r="BB105" s="337"/>
    </row>
    <row r="106" spans="1:54" s="336" customFormat="1" ht="14.25" customHeight="1" hidden="1" thickBot="1">
      <c r="A106" s="334"/>
      <c r="B106" s="334"/>
      <c r="C106" s="334"/>
      <c r="D106" s="334"/>
      <c r="E106" s="334"/>
      <c r="F106" s="334"/>
      <c r="G106" s="335"/>
      <c r="H106" s="394"/>
      <c r="I106" s="397"/>
      <c r="J106" s="400"/>
      <c r="K106" s="400"/>
      <c r="L106" s="271"/>
      <c r="M106" s="397"/>
      <c r="N106" s="397"/>
      <c r="O106" s="403"/>
      <c r="P106" s="406"/>
      <c r="Q106" s="390"/>
      <c r="R106" s="390"/>
      <c r="S106" s="390"/>
      <c r="T106" s="390"/>
      <c r="U106" s="390"/>
      <c r="V106" s="390"/>
      <c r="W106" s="381"/>
      <c r="X106" s="381"/>
      <c r="Y106" s="381"/>
      <c r="Z106" s="381"/>
      <c r="AA106" s="381"/>
      <c r="AB106" s="263" t="s">
        <v>222</v>
      </c>
      <c r="AC106" s="325"/>
      <c r="AD106" s="325"/>
      <c r="AE106" s="325"/>
      <c r="AF106" s="325"/>
      <c r="AG106" s="325"/>
      <c r="AH106" s="325"/>
      <c r="AI106" s="325"/>
      <c r="AJ106" s="325"/>
      <c r="AK106" s="325"/>
      <c r="AL106" s="325"/>
      <c r="AM106" s="325"/>
      <c r="AN106" s="325"/>
      <c r="AO106" s="325"/>
      <c r="AP106" s="325"/>
      <c r="AQ106" s="260">
        <f t="shared" si="24"/>
        <v>0</v>
      </c>
      <c r="AR106" s="261">
        <f t="shared" si="23"/>
        <v>0</v>
      </c>
      <c r="AW106" s="337"/>
      <c r="AX106" s="337"/>
      <c r="AY106" s="337"/>
      <c r="AZ106" s="337"/>
      <c r="BA106" s="337"/>
      <c r="BB106" s="337"/>
    </row>
    <row r="107" spans="1:54" s="336" customFormat="1" ht="14.25" customHeight="1" hidden="1" thickBot="1">
      <c r="A107" s="334"/>
      <c r="B107" s="334"/>
      <c r="C107" s="334"/>
      <c r="D107" s="334"/>
      <c r="E107" s="334"/>
      <c r="F107" s="334"/>
      <c r="G107" s="335"/>
      <c r="H107" s="394"/>
      <c r="I107" s="397"/>
      <c r="J107" s="400"/>
      <c r="K107" s="400"/>
      <c r="L107" s="271"/>
      <c r="M107" s="397"/>
      <c r="N107" s="397"/>
      <c r="O107" s="403"/>
      <c r="P107" s="406"/>
      <c r="Q107" s="390"/>
      <c r="R107" s="390"/>
      <c r="S107" s="390"/>
      <c r="T107" s="390"/>
      <c r="U107" s="390"/>
      <c r="V107" s="390"/>
      <c r="W107" s="381"/>
      <c r="X107" s="381"/>
      <c r="Y107" s="381"/>
      <c r="Z107" s="381"/>
      <c r="AA107" s="381"/>
      <c r="AB107" s="263" t="s">
        <v>223</v>
      </c>
      <c r="AC107" s="325"/>
      <c r="AD107" s="325"/>
      <c r="AE107" s="325"/>
      <c r="AF107" s="325"/>
      <c r="AG107" s="325"/>
      <c r="AH107" s="325"/>
      <c r="AI107" s="325"/>
      <c r="AJ107" s="325"/>
      <c r="AK107" s="325"/>
      <c r="AL107" s="325"/>
      <c r="AM107" s="325"/>
      <c r="AN107" s="325"/>
      <c r="AO107" s="325"/>
      <c r="AP107" s="325"/>
      <c r="AQ107" s="260">
        <f t="shared" si="24"/>
        <v>0</v>
      </c>
      <c r="AR107" s="261">
        <f t="shared" si="23"/>
        <v>0</v>
      </c>
      <c r="AW107" s="337"/>
      <c r="AX107" s="337"/>
      <c r="AY107" s="337"/>
      <c r="AZ107" s="337"/>
      <c r="BA107" s="337"/>
      <c r="BB107" s="337"/>
    </row>
    <row r="108" spans="1:54" s="336" customFormat="1" ht="14.25" customHeight="1" hidden="1" thickBot="1">
      <c r="A108" s="334"/>
      <c r="B108" s="334"/>
      <c r="C108" s="334"/>
      <c r="D108" s="334"/>
      <c r="E108" s="334"/>
      <c r="F108" s="334"/>
      <c r="G108" s="335"/>
      <c r="H108" s="394"/>
      <c r="I108" s="397"/>
      <c r="J108" s="400"/>
      <c r="K108" s="400"/>
      <c r="L108" s="271"/>
      <c r="M108" s="397"/>
      <c r="N108" s="397"/>
      <c r="O108" s="403"/>
      <c r="P108" s="406"/>
      <c r="Q108" s="390"/>
      <c r="R108" s="390"/>
      <c r="S108" s="390"/>
      <c r="T108" s="390"/>
      <c r="U108" s="390"/>
      <c r="V108" s="390"/>
      <c r="W108" s="381"/>
      <c r="X108" s="381"/>
      <c r="Y108" s="381"/>
      <c r="Z108" s="381"/>
      <c r="AA108" s="381"/>
      <c r="AB108" s="263" t="s">
        <v>224</v>
      </c>
      <c r="AC108" s="325"/>
      <c r="AD108" s="325"/>
      <c r="AE108" s="325"/>
      <c r="AF108" s="325"/>
      <c r="AG108" s="325"/>
      <c r="AH108" s="325"/>
      <c r="AI108" s="325"/>
      <c r="AJ108" s="325"/>
      <c r="AK108" s="325"/>
      <c r="AL108" s="325"/>
      <c r="AM108" s="325"/>
      <c r="AN108" s="325"/>
      <c r="AO108" s="325"/>
      <c r="AP108" s="325"/>
      <c r="AQ108" s="260">
        <f t="shared" si="24"/>
        <v>0</v>
      </c>
      <c r="AR108" s="261">
        <f t="shared" si="23"/>
        <v>0</v>
      </c>
      <c r="AW108" s="337"/>
      <c r="AX108" s="337"/>
      <c r="AY108" s="337"/>
      <c r="AZ108" s="337"/>
      <c r="BA108" s="337"/>
      <c r="BB108" s="337"/>
    </row>
    <row r="109" spans="1:54" s="336" customFormat="1" ht="14.25" customHeight="1" hidden="1" thickBot="1">
      <c r="A109" s="334"/>
      <c r="B109" s="334"/>
      <c r="C109" s="334"/>
      <c r="D109" s="334"/>
      <c r="E109" s="334"/>
      <c r="F109" s="334"/>
      <c r="G109" s="335"/>
      <c r="H109" s="394"/>
      <c r="I109" s="397"/>
      <c r="J109" s="400"/>
      <c r="K109" s="400"/>
      <c r="L109" s="271"/>
      <c r="M109" s="397"/>
      <c r="N109" s="397"/>
      <c r="O109" s="403"/>
      <c r="P109" s="406"/>
      <c r="Q109" s="390"/>
      <c r="R109" s="390"/>
      <c r="S109" s="390"/>
      <c r="T109" s="390"/>
      <c r="U109" s="390"/>
      <c r="V109" s="390"/>
      <c r="W109" s="381"/>
      <c r="X109" s="381"/>
      <c r="Y109" s="381"/>
      <c r="Z109" s="381"/>
      <c r="AA109" s="381"/>
      <c r="AB109" s="263" t="s">
        <v>225</v>
      </c>
      <c r="AC109" s="325"/>
      <c r="AD109" s="325"/>
      <c r="AE109" s="325"/>
      <c r="AF109" s="325"/>
      <c r="AG109" s="325"/>
      <c r="AH109" s="325"/>
      <c r="AI109" s="325"/>
      <c r="AJ109" s="325"/>
      <c r="AK109" s="325"/>
      <c r="AL109" s="325"/>
      <c r="AM109" s="325"/>
      <c r="AN109" s="325"/>
      <c r="AO109" s="325"/>
      <c r="AP109" s="325"/>
      <c r="AQ109" s="260">
        <f t="shared" si="24"/>
        <v>0</v>
      </c>
      <c r="AR109" s="261">
        <f t="shared" si="23"/>
        <v>0</v>
      </c>
      <c r="AW109" s="337"/>
      <c r="AX109" s="337"/>
      <c r="AY109" s="337"/>
      <c r="AZ109" s="337"/>
      <c r="BA109" s="337"/>
      <c r="BB109" s="337"/>
    </row>
    <row r="110" spans="1:54" s="336" customFormat="1" ht="14.25" customHeight="1" hidden="1" thickBot="1">
      <c r="A110" s="334"/>
      <c r="B110" s="334"/>
      <c r="C110" s="334"/>
      <c r="D110" s="334"/>
      <c r="E110" s="334"/>
      <c r="F110" s="334"/>
      <c r="G110" s="335"/>
      <c r="H110" s="394"/>
      <c r="I110" s="397"/>
      <c r="J110" s="400"/>
      <c r="K110" s="400"/>
      <c r="L110" s="271"/>
      <c r="M110" s="397"/>
      <c r="N110" s="397"/>
      <c r="O110" s="403"/>
      <c r="P110" s="406"/>
      <c r="Q110" s="390"/>
      <c r="R110" s="390"/>
      <c r="S110" s="390"/>
      <c r="T110" s="390"/>
      <c r="U110" s="390"/>
      <c r="V110" s="390"/>
      <c r="W110" s="381"/>
      <c r="X110" s="381"/>
      <c r="Y110" s="381"/>
      <c r="Z110" s="381"/>
      <c r="AA110" s="381"/>
      <c r="AB110" s="264" t="s">
        <v>289</v>
      </c>
      <c r="AC110" s="265">
        <f aca="true" t="shared" si="25" ref="AC110:AR110">SUM(AC104:AC109)+IF(AC102=0,AC103,AC102)</f>
        <v>0</v>
      </c>
      <c r="AD110" s="265">
        <f t="shared" si="25"/>
        <v>0</v>
      </c>
      <c r="AE110" s="265">
        <f t="shared" si="25"/>
        <v>0</v>
      </c>
      <c r="AF110" s="265">
        <f t="shared" si="25"/>
        <v>0</v>
      </c>
      <c r="AG110" s="265">
        <f t="shared" si="25"/>
        <v>0</v>
      </c>
      <c r="AH110" s="265">
        <f t="shared" si="25"/>
        <v>0</v>
      </c>
      <c r="AI110" s="265">
        <f t="shared" si="25"/>
        <v>0</v>
      </c>
      <c r="AJ110" s="265">
        <f t="shared" si="25"/>
        <v>0</v>
      </c>
      <c r="AK110" s="265">
        <f t="shared" si="25"/>
        <v>0</v>
      </c>
      <c r="AL110" s="265">
        <f t="shared" si="25"/>
        <v>0</v>
      </c>
      <c r="AM110" s="265">
        <f t="shared" si="25"/>
        <v>0</v>
      </c>
      <c r="AN110" s="265">
        <f t="shared" si="25"/>
        <v>0</v>
      </c>
      <c r="AO110" s="265">
        <f t="shared" si="25"/>
        <v>0</v>
      </c>
      <c r="AP110" s="265">
        <f t="shared" si="25"/>
        <v>0</v>
      </c>
      <c r="AQ110" s="265">
        <f t="shared" si="25"/>
        <v>0</v>
      </c>
      <c r="AR110" s="266">
        <f t="shared" si="25"/>
        <v>0</v>
      </c>
      <c r="AW110" s="337"/>
      <c r="AX110" s="337"/>
      <c r="AY110" s="337"/>
      <c r="AZ110" s="337"/>
      <c r="BA110" s="337"/>
      <c r="BB110" s="337"/>
    </row>
    <row r="111" spans="1:54" s="336" customFormat="1" ht="14.25" customHeight="1" hidden="1" thickBot="1">
      <c r="A111" s="334"/>
      <c r="B111" s="334"/>
      <c r="C111" s="334"/>
      <c r="D111" s="334"/>
      <c r="E111" s="334"/>
      <c r="F111" s="334"/>
      <c r="G111" s="335"/>
      <c r="H111" s="395"/>
      <c r="I111" s="398"/>
      <c r="J111" s="401"/>
      <c r="K111" s="401"/>
      <c r="L111" s="272"/>
      <c r="M111" s="398"/>
      <c r="N111" s="398"/>
      <c r="O111" s="404"/>
      <c r="P111" s="407"/>
      <c r="Q111" s="391"/>
      <c r="R111" s="391"/>
      <c r="S111" s="391"/>
      <c r="T111" s="391"/>
      <c r="U111" s="391"/>
      <c r="V111" s="391"/>
      <c r="W111" s="382"/>
      <c r="X111" s="382"/>
      <c r="Y111" s="382"/>
      <c r="Z111" s="382"/>
      <c r="AA111" s="382"/>
      <c r="AB111" s="267" t="s">
        <v>290</v>
      </c>
      <c r="AC111" s="326"/>
      <c r="AD111" s="326"/>
      <c r="AE111" s="326"/>
      <c r="AF111" s="326"/>
      <c r="AG111" s="326"/>
      <c r="AH111" s="326"/>
      <c r="AI111" s="326"/>
      <c r="AJ111" s="326"/>
      <c r="AK111" s="326"/>
      <c r="AL111" s="326"/>
      <c r="AM111" s="326"/>
      <c r="AN111" s="326"/>
      <c r="AO111" s="326"/>
      <c r="AP111" s="326"/>
      <c r="AQ111" s="268">
        <f aca="true" t="shared" si="26" ref="AQ111:AR117">+AC111+AE111+AG111+AI111+AK111+AM111+AO111</f>
        <v>0</v>
      </c>
      <c r="AR111" s="269">
        <f t="shared" si="26"/>
        <v>0</v>
      </c>
      <c r="AW111" s="337"/>
      <c r="AX111" s="337"/>
      <c r="AY111" s="337"/>
      <c r="AZ111" s="337"/>
      <c r="BA111" s="337"/>
      <c r="BB111" s="337"/>
    </row>
    <row r="112" spans="1:54" s="336" customFormat="1" ht="14.25" customHeight="1" hidden="1">
      <c r="A112" s="334" t="s">
        <v>321</v>
      </c>
      <c r="B112" s="334" t="s">
        <v>322</v>
      </c>
      <c r="C112" s="334" t="s">
        <v>202</v>
      </c>
      <c r="D112" s="334" t="s">
        <v>203</v>
      </c>
      <c r="E112" s="334" t="s">
        <v>265</v>
      </c>
      <c r="F112" s="334" t="s">
        <v>204</v>
      </c>
      <c r="G112" s="335">
        <v>9</v>
      </c>
      <c r="H112" s="393">
        <v>886</v>
      </c>
      <c r="I112" s="396" t="s">
        <v>34</v>
      </c>
      <c r="J112" s="399"/>
      <c r="K112" s="399" t="s">
        <v>26</v>
      </c>
      <c r="L112" s="270"/>
      <c r="M112" s="396"/>
      <c r="N112" s="396" t="s">
        <v>323</v>
      </c>
      <c r="O112" s="402">
        <v>0.3</v>
      </c>
      <c r="P112" s="405">
        <v>0.182</v>
      </c>
      <c r="Q112" s="389">
        <f>SUMIF('Actividades inversión 886'!$B$13:$B$35,'Metas inversión 886'!$B112,'Actividades inversión 886'!M$13:M$35)</f>
        <v>0</v>
      </c>
      <c r="R112" s="389">
        <f>SUMIF('Actividades inversión 886'!$B$13:$B$35,'Metas inversión 886'!$B112,'Actividades inversión 886'!N$13:N$35)</f>
        <v>0</v>
      </c>
      <c r="S112" s="389">
        <f>SUMIF('Actividades inversión 886'!$B$13:$B$35,'Metas inversión 886'!$B112,'Actividades inversión 886'!O$13:O$35)</f>
        <v>0</v>
      </c>
      <c r="T112" s="389">
        <f>SUMIF('Actividades inversión 886'!$B$13:$B$35,'Metas inversión 886'!$B112,'Actividades inversión 886'!P$13:P$35)</f>
        <v>0</v>
      </c>
      <c r="U112" s="389">
        <f>SUMIF('Actividades inversión 886'!$B$13:$B$35,'Metas inversión 886'!$B112,'Actividades inversión 886'!Q$13:Q$35)</f>
        <v>0</v>
      </c>
      <c r="V112" s="389">
        <f>SUMIF('Actividades inversión 886'!$B$13:$B$35,'Metas inversión 886'!$B112,'Actividades inversión 886'!R$13:R$35)</f>
        <v>0</v>
      </c>
      <c r="W112" s="392" t="s">
        <v>324</v>
      </c>
      <c r="X112" s="380" t="s">
        <v>325</v>
      </c>
      <c r="Y112" s="380" t="s">
        <v>326</v>
      </c>
      <c r="Z112" s="380"/>
      <c r="AA112" s="380"/>
      <c r="AB112" s="253" t="s">
        <v>287</v>
      </c>
      <c r="AC112" s="327"/>
      <c r="AD112" s="327"/>
      <c r="AE112" s="327"/>
      <c r="AF112" s="327"/>
      <c r="AG112" s="327"/>
      <c r="AH112" s="327"/>
      <c r="AI112" s="327"/>
      <c r="AJ112" s="327"/>
      <c r="AK112" s="327"/>
      <c r="AL112" s="327"/>
      <c r="AM112" s="327"/>
      <c r="AN112" s="327"/>
      <c r="AO112" s="327"/>
      <c r="AP112" s="327"/>
      <c r="AQ112" s="254">
        <f t="shared" si="26"/>
        <v>0</v>
      </c>
      <c r="AR112" s="255">
        <f t="shared" si="26"/>
        <v>0</v>
      </c>
      <c r="AW112" s="262">
        <f>+'[6]99-METROPOLITANO'!N110</f>
        <v>448463000</v>
      </c>
      <c r="AX112" s="262">
        <f>+'[6]99-METROPOLITANO'!O110</f>
        <v>495588000</v>
      </c>
      <c r="AY112" s="262">
        <f>+'[6]99-METROPOLITANO'!P110</f>
        <v>341362000</v>
      </c>
      <c r="AZ112" s="262">
        <f>+'[6]99-METROPOLITANO'!Q110</f>
        <v>69031166</v>
      </c>
      <c r="BA112" s="262">
        <f>+'[6]99-METROPOLITANO'!R110</f>
        <v>62680400</v>
      </c>
      <c r="BB112" s="262">
        <f>+'[6]99-METROPOLITANO'!S110</f>
        <v>55305500</v>
      </c>
    </row>
    <row r="113" spans="1:54" s="336" customFormat="1" ht="14.25" customHeight="1" hidden="1">
      <c r="A113" s="334"/>
      <c r="B113" s="334"/>
      <c r="C113" s="334"/>
      <c r="D113" s="334"/>
      <c r="E113" s="334"/>
      <c r="F113" s="334"/>
      <c r="G113" s="335"/>
      <c r="H113" s="394"/>
      <c r="I113" s="397"/>
      <c r="J113" s="400"/>
      <c r="K113" s="400"/>
      <c r="L113" s="271"/>
      <c r="M113" s="397"/>
      <c r="N113" s="397"/>
      <c r="O113" s="403"/>
      <c r="P113" s="406"/>
      <c r="Q113" s="390"/>
      <c r="R113" s="390"/>
      <c r="S113" s="390"/>
      <c r="T113" s="390"/>
      <c r="U113" s="390"/>
      <c r="V113" s="390"/>
      <c r="W113" s="381"/>
      <c r="X113" s="381"/>
      <c r="Y113" s="381"/>
      <c r="Z113" s="383"/>
      <c r="AA113" s="383"/>
      <c r="AB113" s="259" t="s">
        <v>213</v>
      </c>
      <c r="AC113" s="325"/>
      <c r="AD113" s="325"/>
      <c r="AE113" s="325"/>
      <c r="AF113" s="325"/>
      <c r="AG113" s="325"/>
      <c r="AH113" s="325"/>
      <c r="AI113" s="325"/>
      <c r="AJ113" s="325"/>
      <c r="AK113" s="325"/>
      <c r="AL113" s="325"/>
      <c r="AM113" s="325"/>
      <c r="AN113" s="325"/>
      <c r="AO113" s="325"/>
      <c r="AP113" s="325"/>
      <c r="AQ113" s="260">
        <f t="shared" si="26"/>
        <v>0</v>
      </c>
      <c r="AR113" s="261">
        <f t="shared" si="26"/>
        <v>0</v>
      </c>
      <c r="AW113" s="337"/>
      <c r="AX113" s="337"/>
      <c r="AY113" s="337"/>
      <c r="AZ113" s="337"/>
      <c r="BA113" s="337"/>
      <c r="BB113" s="337"/>
    </row>
    <row r="114" spans="1:54" s="336" customFormat="1" ht="14.25" customHeight="1" hidden="1">
      <c r="A114" s="334"/>
      <c r="B114" s="334"/>
      <c r="C114" s="334"/>
      <c r="D114" s="334"/>
      <c r="E114" s="334"/>
      <c r="F114" s="334"/>
      <c r="G114" s="335"/>
      <c r="H114" s="394"/>
      <c r="I114" s="397"/>
      <c r="J114" s="400"/>
      <c r="K114" s="400"/>
      <c r="L114" s="271"/>
      <c r="M114" s="397"/>
      <c r="N114" s="397"/>
      <c r="O114" s="403"/>
      <c r="P114" s="406"/>
      <c r="Q114" s="390"/>
      <c r="R114" s="390"/>
      <c r="S114" s="390"/>
      <c r="T114" s="390"/>
      <c r="U114" s="390"/>
      <c r="V114" s="390"/>
      <c r="W114" s="381"/>
      <c r="X114" s="381"/>
      <c r="Y114" s="381"/>
      <c r="Z114" s="383"/>
      <c r="AA114" s="383"/>
      <c r="AB114" s="259" t="s">
        <v>214</v>
      </c>
      <c r="AC114" s="325"/>
      <c r="AD114" s="325"/>
      <c r="AE114" s="325"/>
      <c r="AF114" s="325"/>
      <c r="AG114" s="325"/>
      <c r="AH114" s="325"/>
      <c r="AI114" s="325"/>
      <c r="AJ114" s="325"/>
      <c r="AK114" s="325"/>
      <c r="AL114" s="325"/>
      <c r="AM114" s="325"/>
      <c r="AN114" s="325"/>
      <c r="AO114" s="325"/>
      <c r="AP114" s="325"/>
      <c r="AQ114" s="260">
        <f t="shared" si="26"/>
        <v>0</v>
      </c>
      <c r="AR114" s="261">
        <f t="shared" si="26"/>
        <v>0</v>
      </c>
      <c r="AW114" s="337"/>
      <c r="AX114" s="337"/>
      <c r="AY114" s="337"/>
      <c r="AZ114" s="337"/>
      <c r="BA114" s="337"/>
      <c r="BB114" s="337"/>
    </row>
    <row r="115" spans="1:54" s="336" customFormat="1" ht="14.25" customHeight="1" hidden="1">
      <c r="A115" s="334"/>
      <c r="B115" s="334"/>
      <c r="C115" s="334"/>
      <c r="D115" s="334"/>
      <c r="E115" s="334"/>
      <c r="F115" s="334"/>
      <c r="G115" s="335"/>
      <c r="H115" s="394"/>
      <c r="I115" s="397"/>
      <c r="J115" s="400"/>
      <c r="K115" s="400"/>
      <c r="L115" s="271"/>
      <c r="M115" s="397"/>
      <c r="N115" s="397"/>
      <c r="O115" s="403"/>
      <c r="P115" s="406"/>
      <c r="Q115" s="390"/>
      <c r="R115" s="390"/>
      <c r="S115" s="390"/>
      <c r="T115" s="390"/>
      <c r="U115" s="390"/>
      <c r="V115" s="390"/>
      <c r="W115" s="381"/>
      <c r="X115" s="381"/>
      <c r="Y115" s="381"/>
      <c r="Z115" s="383"/>
      <c r="AA115" s="383"/>
      <c r="AB115" s="259" t="s">
        <v>215</v>
      </c>
      <c r="AC115" s="325"/>
      <c r="AD115" s="325"/>
      <c r="AE115" s="325"/>
      <c r="AF115" s="325"/>
      <c r="AG115" s="325"/>
      <c r="AH115" s="325"/>
      <c r="AI115" s="325"/>
      <c r="AJ115" s="325"/>
      <c r="AK115" s="325"/>
      <c r="AL115" s="325"/>
      <c r="AM115" s="325"/>
      <c r="AN115" s="325"/>
      <c r="AO115" s="325"/>
      <c r="AP115" s="325"/>
      <c r="AQ115" s="260">
        <f t="shared" si="26"/>
        <v>0</v>
      </c>
      <c r="AR115" s="261">
        <f t="shared" si="26"/>
        <v>0</v>
      </c>
      <c r="AW115" s="337"/>
      <c r="AX115" s="337"/>
      <c r="AY115" s="337"/>
      <c r="AZ115" s="337"/>
      <c r="BA115" s="337"/>
      <c r="BB115" s="337"/>
    </row>
    <row r="116" spans="1:54" s="336" customFormat="1" ht="14.25" customHeight="1" hidden="1">
      <c r="A116" s="334"/>
      <c r="B116" s="334"/>
      <c r="C116" s="334"/>
      <c r="D116" s="334"/>
      <c r="E116" s="334"/>
      <c r="F116" s="334"/>
      <c r="G116" s="335"/>
      <c r="H116" s="394"/>
      <c r="I116" s="397"/>
      <c r="J116" s="400"/>
      <c r="K116" s="400"/>
      <c r="L116" s="271"/>
      <c r="M116" s="397"/>
      <c r="N116" s="397"/>
      <c r="O116" s="403"/>
      <c r="P116" s="406"/>
      <c r="Q116" s="390"/>
      <c r="R116" s="390"/>
      <c r="S116" s="390"/>
      <c r="T116" s="390"/>
      <c r="U116" s="390"/>
      <c r="V116" s="390"/>
      <c r="W116" s="381"/>
      <c r="X116" s="381"/>
      <c r="Y116" s="381"/>
      <c r="Z116" s="383"/>
      <c r="AA116" s="383"/>
      <c r="AB116" s="259" t="s">
        <v>216</v>
      </c>
      <c r="AC116" s="325"/>
      <c r="AD116" s="325"/>
      <c r="AE116" s="325"/>
      <c r="AF116" s="325"/>
      <c r="AG116" s="325"/>
      <c r="AH116" s="325"/>
      <c r="AI116" s="325"/>
      <c r="AJ116" s="325"/>
      <c r="AK116" s="325"/>
      <c r="AL116" s="325"/>
      <c r="AM116" s="325"/>
      <c r="AN116" s="325"/>
      <c r="AO116" s="325"/>
      <c r="AP116" s="325"/>
      <c r="AQ116" s="260">
        <f t="shared" si="26"/>
        <v>0</v>
      </c>
      <c r="AR116" s="261">
        <f t="shared" si="26"/>
        <v>0</v>
      </c>
      <c r="AW116" s="337"/>
      <c r="AX116" s="337"/>
      <c r="AY116" s="337"/>
      <c r="AZ116" s="337"/>
      <c r="BA116" s="337"/>
      <c r="BB116" s="337"/>
    </row>
    <row r="117" spans="1:54" s="336" customFormat="1" ht="3.75" customHeight="1" hidden="1">
      <c r="A117" s="334"/>
      <c r="B117" s="334"/>
      <c r="C117" s="334"/>
      <c r="D117" s="334"/>
      <c r="E117" s="334"/>
      <c r="F117" s="334"/>
      <c r="G117" s="335"/>
      <c r="H117" s="394"/>
      <c r="I117" s="397"/>
      <c r="J117" s="400"/>
      <c r="K117" s="400"/>
      <c r="L117" s="271"/>
      <c r="M117" s="397"/>
      <c r="N117" s="397"/>
      <c r="O117" s="403"/>
      <c r="P117" s="406"/>
      <c r="Q117" s="390"/>
      <c r="R117" s="390"/>
      <c r="S117" s="390"/>
      <c r="T117" s="390"/>
      <c r="U117" s="390"/>
      <c r="V117" s="390"/>
      <c r="W117" s="381"/>
      <c r="X117" s="381"/>
      <c r="Y117" s="381"/>
      <c r="Z117" s="383"/>
      <c r="AA117" s="383"/>
      <c r="AB117" s="263" t="s">
        <v>217</v>
      </c>
      <c r="AC117" s="325"/>
      <c r="AD117" s="325"/>
      <c r="AE117" s="325"/>
      <c r="AF117" s="325"/>
      <c r="AG117" s="325"/>
      <c r="AH117" s="325"/>
      <c r="AI117" s="325"/>
      <c r="AJ117" s="325"/>
      <c r="AK117" s="325"/>
      <c r="AL117" s="325"/>
      <c r="AM117" s="325"/>
      <c r="AN117" s="325"/>
      <c r="AO117" s="325"/>
      <c r="AP117" s="325"/>
      <c r="AQ117" s="260">
        <f t="shared" si="26"/>
        <v>0</v>
      </c>
      <c r="AR117" s="261">
        <f t="shared" si="26"/>
        <v>0</v>
      </c>
      <c r="AW117" s="337"/>
      <c r="AX117" s="337"/>
      <c r="AY117" s="337"/>
      <c r="AZ117" s="337"/>
      <c r="BA117" s="337"/>
      <c r="BB117" s="337"/>
    </row>
    <row r="118" spans="1:54" s="336" customFormat="1" ht="14.25" customHeight="1" hidden="1">
      <c r="A118" s="334"/>
      <c r="B118" s="334"/>
      <c r="C118" s="334"/>
      <c r="D118" s="334"/>
      <c r="E118" s="334"/>
      <c r="F118" s="334"/>
      <c r="G118" s="335"/>
      <c r="H118" s="394"/>
      <c r="I118" s="397"/>
      <c r="J118" s="400"/>
      <c r="K118" s="400"/>
      <c r="L118" s="271"/>
      <c r="M118" s="397"/>
      <c r="N118" s="397"/>
      <c r="O118" s="403"/>
      <c r="P118" s="406"/>
      <c r="Q118" s="390"/>
      <c r="R118" s="390"/>
      <c r="S118" s="390"/>
      <c r="T118" s="390"/>
      <c r="U118" s="390"/>
      <c r="V118" s="390"/>
      <c r="W118" s="381"/>
      <c r="X118" s="381"/>
      <c r="Y118" s="381"/>
      <c r="Z118" s="383"/>
      <c r="AA118" s="383"/>
      <c r="AB118" s="264" t="s">
        <v>218</v>
      </c>
      <c r="AC118" s="265">
        <f aca="true" t="shared" si="27" ref="AC118:AR118">SUM(AC112:AC117)</f>
        <v>0</v>
      </c>
      <c r="AD118" s="265">
        <f t="shared" si="27"/>
        <v>0</v>
      </c>
      <c r="AE118" s="265">
        <f t="shared" si="27"/>
        <v>0</v>
      </c>
      <c r="AF118" s="265">
        <f t="shared" si="27"/>
        <v>0</v>
      </c>
      <c r="AG118" s="265">
        <f t="shared" si="27"/>
        <v>0</v>
      </c>
      <c r="AH118" s="265">
        <f t="shared" si="27"/>
        <v>0</v>
      </c>
      <c r="AI118" s="265">
        <f t="shared" si="27"/>
        <v>0</v>
      </c>
      <c r="AJ118" s="265">
        <f t="shared" si="27"/>
        <v>0</v>
      </c>
      <c r="AK118" s="265">
        <f t="shared" si="27"/>
        <v>0</v>
      </c>
      <c r="AL118" s="265">
        <f t="shared" si="27"/>
        <v>0</v>
      </c>
      <c r="AM118" s="265">
        <f t="shared" si="27"/>
        <v>0</v>
      </c>
      <c r="AN118" s="265">
        <f t="shared" si="27"/>
        <v>0</v>
      </c>
      <c r="AO118" s="265">
        <f t="shared" si="27"/>
        <v>0</v>
      </c>
      <c r="AP118" s="265">
        <f t="shared" si="27"/>
        <v>0</v>
      </c>
      <c r="AQ118" s="265">
        <f t="shared" si="27"/>
        <v>0</v>
      </c>
      <c r="AR118" s="266">
        <f t="shared" si="27"/>
        <v>0</v>
      </c>
      <c r="AW118" s="337"/>
      <c r="AX118" s="337"/>
      <c r="AY118" s="337"/>
      <c r="AZ118" s="337"/>
      <c r="BA118" s="337"/>
      <c r="BB118" s="337"/>
    </row>
    <row r="119" spans="1:54" s="336" customFormat="1" ht="14.25" customHeight="1" hidden="1">
      <c r="A119" s="334"/>
      <c r="B119" s="334"/>
      <c r="C119" s="334"/>
      <c r="D119" s="334"/>
      <c r="E119" s="334"/>
      <c r="F119" s="334"/>
      <c r="G119" s="335"/>
      <c r="H119" s="394"/>
      <c r="I119" s="397"/>
      <c r="J119" s="400"/>
      <c r="K119" s="400"/>
      <c r="L119" s="271"/>
      <c r="M119" s="397"/>
      <c r="N119" s="397"/>
      <c r="O119" s="403"/>
      <c r="P119" s="406"/>
      <c r="Q119" s="390"/>
      <c r="R119" s="390"/>
      <c r="S119" s="390"/>
      <c r="T119" s="390"/>
      <c r="U119" s="390"/>
      <c r="V119" s="390"/>
      <c r="W119" s="381"/>
      <c r="X119" s="381"/>
      <c r="Y119" s="381"/>
      <c r="Z119" s="383"/>
      <c r="AA119" s="383"/>
      <c r="AB119" s="259" t="s">
        <v>219</v>
      </c>
      <c r="AC119" s="325"/>
      <c r="AD119" s="325"/>
      <c r="AE119" s="325"/>
      <c r="AF119" s="325"/>
      <c r="AG119" s="325"/>
      <c r="AH119" s="325"/>
      <c r="AI119" s="325"/>
      <c r="AJ119" s="325"/>
      <c r="AK119" s="325"/>
      <c r="AL119" s="325"/>
      <c r="AM119" s="325"/>
      <c r="AN119" s="325"/>
      <c r="AO119" s="325"/>
      <c r="AP119" s="325"/>
      <c r="AQ119" s="260">
        <f>+AC119+AE119+AG119+AI119+AK119+AM119+AO119</f>
        <v>0</v>
      </c>
      <c r="AR119" s="261">
        <f aca="true" t="shared" si="28" ref="AR119:AR125">+AD119+AF119+AH119+AJ119+AL119+AN119+AP119</f>
        <v>0</v>
      </c>
      <c r="AW119" s="337"/>
      <c r="AX119" s="337"/>
      <c r="AY119" s="337"/>
      <c r="AZ119" s="337"/>
      <c r="BA119" s="337"/>
      <c r="BB119" s="337"/>
    </row>
    <row r="120" spans="1:54" s="336" customFormat="1" ht="14.25" customHeight="1" hidden="1">
      <c r="A120" s="334"/>
      <c r="B120" s="334"/>
      <c r="C120" s="334"/>
      <c r="D120" s="334"/>
      <c r="E120" s="334"/>
      <c r="F120" s="334"/>
      <c r="G120" s="335"/>
      <c r="H120" s="394"/>
      <c r="I120" s="397"/>
      <c r="J120" s="400"/>
      <c r="K120" s="400"/>
      <c r="L120" s="271"/>
      <c r="M120" s="397"/>
      <c r="N120" s="397"/>
      <c r="O120" s="403"/>
      <c r="P120" s="406"/>
      <c r="Q120" s="390"/>
      <c r="R120" s="390"/>
      <c r="S120" s="390"/>
      <c r="T120" s="390"/>
      <c r="U120" s="390"/>
      <c r="V120" s="390"/>
      <c r="W120" s="381"/>
      <c r="X120" s="381"/>
      <c r="Y120" s="385" t="s">
        <v>327</v>
      </c>
      <c r="Z120" s="387" t="s">
        <v>328</v>
      </c>
      <c r="AA120" s="383"/>
      <c r="AB120" s="259" t="s">
        <v>288</v>
      </c>
      <c r="AC120" s="325"/>
      <c r="AD120" s="325"/>
      <c r="AE120" s="325"/>
      <c r="AF120" s="325"/>
      <c r="AG120" s="325"/>
      <c r="AH120" s="325"/>
      <c r="AI120" s="325"/>
      <c r="AJ120" s="325"/>
      <c r="AK120" s="325"/>
      <c r="AL120" s="325"/>
      <c r="AM120" s="325"/>
      <c r="AN120" s="325"/>
      <c r="AO120" s="325"/>
      <c r="AP120" s="325"/>
      <c r="AQ120" s="260">
        <f aca="true" t="shared" si="29" ref="AQ120:AQ125">+AC120+AE120+AG120+AI120+AK120+AM120+AO120</f>
        <v>0</v>
      </c>
      <c r="AR120" s="261">
        <f t="shared" si="28"/>
        <v>0</v>
      </c>
      <c r="AW120" s="337"/>
      <c r="AX120" s="337"/>
      <c r="AY120" s="337"/>
      <c r="AZ120" s="337"/>
      <c r="BA120" s="337"/>
      <c r="BB120" s="337"/>
    </row>
    <row r="121" spans="1:54" s="336" customFormat="1" ht="14.25" customHeight="1" hidden="1">
      <c r="A121" s="334"/>
      <c r="B121" s="334"/>
      <c r="C121" s="334"/>
      <c r="D121" s="334"/>
      <c r="E121" s="334"/>
      <c r="F121" s="334"/>
      <c r="G121" s="335"/>
      <c r="H121" s="394"/>
      <c r="I121" s="397"/>
      <c r="J121" s="400"/>
      <c r="K121" s="400"/>
      <c r="L121" s="271"/>
      <c r="M121" s="397"/>
      <c r="N121" s="397"/>
      <c r="O121" s="403"/>
      <c r="P121" s="406"/>
      <c r="Q121" s="390"/>
      <c r="R121" s="390"/>
      <c r="S121" s="390"/>
      <c r="T121" s="390"/>
      <c r="U121" s="390"/>
      <c r="V121" s="390"/>
      <c r="W121" s="381"/>
      <c r="X121" s="381"/>
      <c r="Y121" s="386"/>
      <c r="Z121" s="388"/>
      <c r="AA121" s="383"/>
      <c r="AB121" s="263" t="s">
        <v>221</v>
      </c>
      <c r="AC121" s="325"/>
      <c r="AD121" s="325"/>
      <c r="AE121" s="325"/>
      <c r="AF121" s="325"/>
      <c r="AG121" s="325"/>
      <c r="AH121" s="325"/>
      <c r="AI121" s="325"/>
      <c r="AJ121" s="325"/>
      <c r="AK121" s="325"/>
      <c r="AL121" s="325"/>
      <c r="AM121" s="325"/>
      <c r="AN121" s="325"/>
      <c r="AO121" s="325"/>
      <c r="AP121" s="325"/>
      <c r="AQ121" s="260">
        <f t="shared" si="29"/>
        <v>0</v>
      </c>
      <c r="AR121" s="261">
        <f t="shared" si="28"/>
        <v>0</v>
      </c>
      <c r="AW121" s="337"/>
      <c r="AX121" s="337"/>
      <c r="AY121" s="337"/>
      <c r="AZ121" s="337"/>
      <c r="BA121" s="337"/>
      <c r="BB121" s="337"/>
    </row>
    <row r="122" spans="1:54" s="336" customFormat="1" ht="14.25" customHeight="1" hidden="1">
      <c r="A122" s="334"/>
      <c r="B122" s="334"/>
      <c r="C122" s="334"/>
      <c r="D122" s="334"/>
      <c r="E122" s="334"/>
      <c r="F122" s="334"/>
      <c r="G122" s="335"/>
      <c r="H122" s="394"/>
      <c r="I122" s="397"/>
      <c r="J122" s="400"/>
      <c r="K122" s="400"/>
      <c r="L122" s="271"/>
      <c r="M122" s="397"/>
      <c r="N122" s="397"/>
      <c r="O122" s="403"/>
      <c r="P122" s="406"/>
      <c r="Q122" s="390"/>
      <c r="R122" s="390"/>
      <c r="S122" s="390"/>
      <c r="T122" s="390"/>
      <c r="U122" s="390"/>
      <c r="V122" s="390"/>
      <c r="W122" s="381"/>
      <c r="X122" s="381"/>
      <c r="Y122" s="386"/>
      <c r="Z122" s="388"/>
      <c r="AA122" s="383"/>
      <c r="AB122" s="263" t="s">
        <v>222</v>
      </c>
      <c r="AC122" s="325"/>
      <c r="AD122" s="325"/>
      <c r="AE122" s="325"/>
      <c r="AF122" s="325"/>
      <c r="AG122" s="325"/>
      <c r="AH122" s="325"/>
      <c r="AI122" s="325"/>
      <c r="AJ122" s="325"/>
      <c r="AK122" s="325"/>
      <c r="AL122" s="325"/>
      <c r="AM122" s="325"/>
      <c r="AN122" s="325"/>
      <c r="AO122" s="325"/>
      <c r="AP122" s="325"/>
      <c r="AQ122" s="260">
        <f t="shared" si="29"/>
        <v>0</v>
      </c>
      <c r="AR122" s="261">
        <f t="shared" si="28"/>
        <v>0</v>
      </c>
      <c r="AW122" s="337"/>
      <c r="AX122" s="337"/>
      <c r="AY122" s="337"/>
      <c r="AZ122" s="337"/>
      <c r="BA122" s="337"/>
      <c r="BB122" s="337"/>
    </row>
    <row r="123" spans="1:54" s="336" customFormat="1" ht="14.25" customHeight="1" hidden="1">
      <c r="A123" s="334"/>
      <c r="B123" s="334"/>
      <c r="C123" s="334"/>
      <c r="D123" s="334"/>
      <c r="E123" s="334"/>
      <c r="F123" s="334"/>
      <c r="G123" s="335"/>
      <c r="H123" s="394"/>
      <c r="I123" s="397"/>
      <c r="J123" s="400"/>
      <c r="K123" s="400"/>
      <c r="L123" s="271"/>
      <c r="M123" s="397"/>
      <c r="N123" s="397"/>
      <c r="O123" s="403"/>
      <c r="P123" s="406"/>
      <c r="Q123" s="390"/>
      <c r="R123" s="390"/>
      <c r="S123" s="390"/>
      <c r="T123" s="390"/>
      <c r="U123" s="390"/>
      <c r="V123" s="390"/>
      <c r="W123" s="381"/>
      <c r="X123" s="381"/>
      <c r="Y123" s="386"/>
      <c r="Z123" s="388"/>
      <c r="AA123" s="383"/>
      <c r="AB123" s="263" t="s">
        <v>223</v>
      </c>
      <c r="AC123" s="325"/>
      <c r="AD123" s="325"/>
      <c r="AE123" s="325"/>
      <c r="AF123" s="325"/>
      <c r="AG123" s="325"/>
      <c r="AH123" s="325"/>
      <c r="AI123" s="325"/>
      <c r="AJ123" s="325"/>
      <c r="AK123" s="325"/>
      <c r="AL123" s="325"/>
      <c r="AM123" s="325"/>
      <c r="AN123" s="325"/>
      <c r="AO123" s="325"/>
      <c r="AP123" s="325"/>
      <c r="AQ123" s="260">
        <f t="shared" si="29"/>
        <v>0</v>
      </c>
      <c r="AR123" s="261">
        <f t="shared" si="28"/>
        <v>0</v>
      </c>
      <c r="AW123" s="337"/>
      <c r="AX123" s="337"/>
      <c r="AY123" s="337"/>
      <c r="AZ123" s="337"/>
      <c r="BA123" s="337"/>
      <c r="BB123" s="337"/>
    </row>
    <row r="124" spans="1:54" s="336" customFormat="1" ht="14.25" customHeight="1" hidden="1">
      <c r="A124" s="334"/>
      <c r="B124" s="334"/>
      <c r="C124" s="334"/>
      <c r="D124" s="334"/>
      <c r="E124" s="334"/>
      <c r="F124" s="334"/>
      <c r="G124" s="335"/>
      <c r="H124" s="394"/>
      <c r="I124" s="397"/>
      <c r="J124" s="400"/>
      <c r="K124" s="400"/>
      <c r="L124" s="271"/>
      <c r="M124" s="397"/>
      <c r="N124" s="397"/>
      <c r="O124" s="403"/>
      <c r="P124" s="406"/>
      <c r="Q124" s="390"/>
      <c r="R124" s="390"/>
      <c r="S124" s="390"/>
      <c r="T124" s="390"/>
      <c r="U124" s="390"/>
      <c r="V124" s="390"/>
      <c r="W124" s="381"/>
      <c r="X124" s="381"/>
      <c r="Y124" s="386"/>
      <c r="Z124" s="388"/>
      <c r="AA124" s="383"/>
      <c r="AB124" s="263" t="s">
        <v>224</v>
      </c>
      <c r="AC124" s="325"/>
      <c r="AD124" s="325"/>
      <c r="AE124" s="325"/>
      <c r="AF124" s="325"/>
      <c r="AG124" s="325"/>
      <c r="AH124" s="325"/>
      <c r="AI124" s="325"/>
      <c r="AJ124" s="325"/>
      <c r="AK124" s="325"/>
      <c r="AL124" s="325"/>
      <c r="AM124" s="325"/>
      <c r="AN124" s="325"/>
      <c r="AO124" s="325"/>
      <c r="AP124" s="325"/>
      <c r="AQ124" s="260">
        <f t="shared" si="29"/>
        <v>0</v>
      </c>
      <c r="AR124" s="261">
        <f t="shared" si="28"/>
        <v>0</v>
      </c>
      <c r="AW124" s="337"/>
      <c r="AX124" s="337"/>
      <c r="AY124" s="337"/>
      <c r="AZ124" s="337"/>
      <c r="BA124" s="337"/>
      <c r="BB124" s="337"/>
    </row>
    <row r="125" spans="1:54" s="336" customFormat="1" ht="14.25" customHeight="1" hidden="1">
      <c r="A125" s="334"/>
      <c r="B125" s="334"/>
      <c r="C125" s="334"/>
      <c r="D125" s="334"/>
      <c r="E125" s="334"/>
      <c r="F125" s="334"/>
      <c r="G125" s="335"/>
      <c r="H125" s="394"/>
      <c r="I125" s="397"/>
      <c r="J125" s="400"/>
      <c r="K125" s="400"/>
      <c r="L125" s="271"/>
      <c r="M125" s="397"/>
      <c r="N125" s="397"/>
      <c r="O125" s="403"/>
      <c r="P125" s="406"/>
      <c r="Q125" s="390"/>
      <c r="R125" s="390"/>
      <c r="S125" s="390"/>
      <c r="T125" s="390"/>
      <c r="U125" s="390"/>
      <c r="V125" s="390"/>
      <c r="W125" s="381"/>
      <c r="X125" s="381"/>
      <c r="Y125" s="386"/>
      <c r="Z125" s="388"/>
      <c r="AA125" s="383"/>
      <c r="AB125" s="263" t="s">
        <v>225</v>
      </c>
      <c r="AC125" s="325"/>
      <c r="AD125" s="325"/>
      <c r="AE125" s="325"/>
      <c r="AF125" s="325"/>
      <c r="AG125" s="325"/>
      <c r="AH125" s="325"/>
      <c r="AI125" s="325"/>
      <c r="AJ125" s="325"/>
      <c r="AK125" s="325"/>
      <c r="AL125" s="325"/>
      <c r="AM125" s="325"/>
      <c r="AN125" s="325"/>
      <c r="AO125" s="325"/>
      <c r="AP125" s="325"/>
      <c r="AQ125" s="260">
        <f t="shared" si="29"/>
        <v>0</v>
      </c>
      <c r="AR125" s="261">
        <f t="shared" si="28"/>
        <v>0</v>
      </c>
      <c r="AW125" s="337"/>
      <c r="AX125" s="337"/>
      <c r="AY125" s="337"/>
      <c r="AZ125" s="337"/>
      <c r="BA125" s="337"/>
      <c r="BB125" s="337"/>
    </row>
    <row r="126" spans="1:54" s="336" customFormat="1" ht="14.25" customHeight="1" hidden="1">
      <c r="A126" s="334"/>
      <c r="B126" s="334"/>
      <c r="C126" s="334"/>
      <c r="D126" s="334"/>
      <c r="E126" s="334"/>
      <c r="F126" s="334"/>
      <c r="G126" s="335"/>
      <c r="H126" s="394"/>
      <c r="I126" s="397"/>
      <c r="J126" s="400"/>
      <c r="K126" s="400"/>
      <c r="L126" s="271"/>
      <c r="M126" s="397"/>
      <c r="N126" s="397"/>
      <c r="O126" s="403"/>
      <c r="P126" s="406"/>
      <c r="Q126" s="390"/>
      <c r="R126" s="390"/>
      <c r="S126" s="390"/>
      <c r="T126" s="390"/>
      <c r="U126" s="390"/>
      <c r="V126" s="390"/>
      <c r="W126" s="381"/>
      <c r="X126" s="381"/>
      <c r="Y126" s="386"/>
      <c r="Z126" s="388"/>
      <c r="AA126" s="383"/>
      <c r="AB126" s="264" t="s">
        <v>289</v>
      </c>
      <c r="AC126" s="265">
        <f aca="true" t="shared" si="30" ref="AC126:AR126">SUM(AC120:AC125)+IF(AC118=0,AC119,AC118)</f>
        <v>0</v>
      </c>
      <c r="AD126" s="265">
        <f t="shared" si="30"/>
        <v>0</v>
      </c>
      <c r="AE126" s="265">
        <f t="shared" si="30"/>
        <v>0</v>
      </c>
      <c r="AF126" s="265">
        <f t="shared" si="30"/>
        <v>0</v>
      </c>
      <c r="AG126" s="265">
        <f t="shared" si="30"/>
        <v>0</v>
      </c>
      <c r="AH126" s="265">
        <f t="shared" si="30"/>
        <v>0</v>
      </c>
      <c r="AI126" s="265">
        <f t="shared" si="30"/>
        <v>0</v>
      </c>
      <c r="AJ126" s="265">
        <f t="shared" si="30"/>
        <v>0</v>
      </c>
      <c r="AK126" s="265">
        <f t="shared" si="30"/>
        <v>0</v>
      </c>
      <c r="AL126" s="265">
        <f t="shared" si="30"/>
        <v>0</v>
      </c>
      <c r="AM126" s="265">
        <f t="shared" si="30"/>
        <v>0</v>
      </c>
      <c r="AN126" s="265">
        <f t="shared" si="30"/>
        <v>0</v>
      </c>
      <c r="AO126" s="265">
        <f t="shared" si="30"/>
        <v>0</v>
      </c>
      <c r="AP126" s="265">
        <f t="shared" si="30"/>
        <v>0</v>
      </c>
      <c r="AQ126" s="265">
        <f t="shared" si="30"/>
        <v>0</v>
      </c>
      <c r="AR126" s="266">
        <f t="shared" si="30"/>
        <v>0</v>
      </c>
      <c r="AW126" s="337"/>
      <c r="AX126" s="337"/>
      <c r="AY126" s="337"/>
      <c r="AZ126" s="337"/>
      <c r="BA126" s="337"/>
      <c r="BB126" s="337"/>
    </row>
    <row r="127" spans="1:54" s="336" customFormat="1" ht="14.25" customHeight="1" hidden="1" thickBot="1">
      <c r="A127" s="334"/>
      <c r="B127" s="334"/>
      <c r="C127" s="334"/>
      <c r="D127" s="334"/>
      <c r="E127" s="334"/>
      <c r="F127" s="334"/>
      <c r="G127" s="335"/>
      <c r="H127" s="395"/>
      <c r="I127" s="398"/>
      <c r="J127" s="401"/>
      <c r="K127" s="401"/>
      <c r="L127" s="272"/>
      <c r="M127" s="398"/>
      <c r="N127" s="398"/>
      <c r="O127" s="404"/>
      <c r="P127" s="407"/>
      <c r="Q127" s="391"/>
      <c r="R127" s="391"/>
      <c r="S127" s="391"/>
      <c r="T127" s="391"/>
      <c r="U127" s="391"/>
      <c r="V127" s="391"/>
      <c r="W127" s="382"/>
      <c r="X127" s="382"/>
      <c r="Y127" s="386"/>
      <c r="Z127" s="388"/>
      <c r="AA127" s="384"/>
      <c r="AB127" s="267" t="s">
        <v>290</v>
      </c>
      <c r="AC127" s="326"/>
      <c r="AD127" s="326"/>
      <c r="AE127" s="326"/>
      <c r="AF127" s="326"/>
      <c r="AG127" s="326"/>
      <c r="AH127" s="326"/>
      <c r="AI127" s="326"/>
      <c r="AJ127" s="326"/>
      <c r="AK127" s="326"/>
      <c r="AL127" s="326"/>
      <c r="AM127" s="326"/>
      <c r="AN127" s="326"/>
      <c r="AO127" s="326"/>
      <c r="AP127" s="326"/>
      <c r="AQ127" s="268">
        <f>+AC127+AE127+AG127+AI127+AK127+AM127+AO127</f>
        <v>0</v>
      </c>
      <c r="AR127" s="269">
        <f>+AD127+AF127+AH127+AJ127+AL127+AN127+AP127</f>
        <v>0</v>
      </c>
      <c r="AW127" s="337"/>
      <c r="AX127" s="337"/>
      <c r="AY127" s="337"/>
      <c r="AZ127" s="337"/>
      <c r="BA127" s="337"/>
      <c r="BB127" s="337"/>
    </row>
    <row r="128" spans="7:54" s="273" customFormat="1" ht="14.25" customHeight="1" hidden="1">
      <c r="G128" s="274"/>
      <c r="H128" s="274"/>
      <c r="I128" s="274"/>
      <c r="J128" s="274"/>
      <c r="K128" s="274"/>
      <c r="L128" s="274"/>
      <c r="M128" s="274"/>
      <c r="N128" s="274"/>
      <c r="O128" s="274"/>
      <c r="P128" s="338"/>
      <c r="Q128" s="339">
        <f aca="true" t="shared" si="31" ref="Q128:V128">SUBTOTAL(9,Q16:Q127)</f>
        <v>7171510000</v>
      </c>
      <c r="R128" s="275">
        <f t="shared" si="31"/>
        <v>7153864000</v>
      </c>
      <c r="S128" s="275">
        <f t="shared" si="31"/>
        <v>5770346920</v>
      </c>
      <c r="T128" s="275">
        <f t="shared" si="31"/>
        <v>1325685726</v>
      </c>
      <c r="U128" s="275">
        <f t="shared" si="31"/>
        <v>1146987370</v>
      </c>
      <c r="V128" s="275">
        <f t="shared" si="31"/>
        <v>987509761</v>
      </c>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W128" s="275">
        <f aca="true" t="shared" si="32" ref="AW128:BB128">SUM(AW16:AW127)</f>
        <v>7894820000</v>
      </c>
      <c r="AX128" s="275">
        <f t="shared" si="32"/>
        <v>7894820000</v>
      </c>
      <c r="AY128" s="275">
        <f t="shared" si="32"/>
        <v>6265649920</v>
      </c>
      <c r="AZ128" s="275">
        <f t="shared" si="32"/>
        <v>1438842825</v>
      </c>
      <c r="BA128" s="275">
        <f t="shared" si="32"/>
        <v>1247933437</v>
      </c>
      <c r="BB128" s="275">
        <f t="shared" si="32"/>
        <v>1081080928</v>
      </c>
    </row>
    <row r="129" spans="17:54" ht="14.25" customHeight="1">
      <c r="Q129" s="277"/>
      <c r="R129" s="277"/>
      <c r="S129" s="277"/>
      <c r="T129" s="277"/>
      <c r="U129" s="277"/>
      <c r="V129" s="277"/>
      <c r="AB129" s="6"/>
      <c r="AC129" s="6"/>
      <c r="AD129" s="6"/>
      <c r="AE129" s="6"/>
      <c r="AF129" s="6"/>
      <c r="AG129" s="6"/>
      <c r="AH129" s="6"/>
      <c r="AI129" s="6"/>
      <c r="AJ129" s="6"/>
      <c r="AK129" s="6"/>
      <c r="AL129" s="6"/>
      <c r="AM129" s="6"/>
      <c r="AN129" s="6"/>
      <c r="AO129" s="6"/>
      <c r="AP129" s="6"/>
      <c r="AQ129" s="6"/>
      <c r="AR129" s="6"/>
      <c r="AS129" s="6"/>
      <c r="AT129" s="6"/>
      <c r="AU129" s="6"/>
      <c r="AV129" s="6"/>
      <c r="AW129" s="6"/>
      <c r="AX129" s="262"/>
      <c r="AY129" s="262"/>
      <c r="AZ129" s="262"/>
      <c r="BA129" s="262"/>
      <c r="BB129" s="262"/>
    </row>
    <row r="130" spans="17:49" ht="14.25" customHeight="1">
      <c r="Q130" s="278"/>
      <c r="R130" s="278"/>
      <c r="S130" s="278"/>
      <c r="T130" s="278"/>
      <c r="U130" s="278"/>
      <c r="V130" s="278"/>
      <c r="AB130" s="6"/>
      <c r="AC130" s="6"/>
      <c r="AD130" s="6"/>
      <c r="AE130" s="6"/>
      <c r="AF130" s="6"/>
      <c r="AG130" s="6"/>
      <c r="AH130" s="6"/>
      <c r="AI130" s="6"/>
      <c r="AJ130" s="6"/>
      <c r="AK130" s="6"/>
      <c r="AL130" s="6"/>
      <c r="AM130" s="6"/>
      <c r="AN130" s="6"/>
      <c r="AO130" s="6"/>
      <c r="AP130" s="6"/>
      <c r="AQ130" s="6"/>
      <c r="AR130" s="6"/>
      <c r="AS130" s="6"/>
      <c r="AT130" s="6"/>
      <c r="AU130" s="6"/>
      <c r="AV130" s="6"/>
      <c r="AW130" s="6"/>
    </row>
    <row r="131" spans="20:49" ht="14.25" customHeight="1">
      <c r="T131" s="279"/>
      <c r="AB131" s="6"/>
      <c r="AC131" s="6"/>
      <c r="AD131" s="6"/>
      <c r="AE131" s="6"/>
      <c r="AF131" s="6"/>
      <c r="AG131" s="6"/>
      <c r="AH131" s="6"/>
      <c r="AI131" s="6"/>
      <c r="AJ131" s="6"/>
      <c r="AK131" s="6"/>
      <c r="AL131" s="6"/>
      <c r="AM131" s="6"/>
      <c r="AN131" s="6"/>
      <c r="AO131" s="6"/>
      <c r="AP131" s="6"/>
      <c r="AQ131" s="6"/>
      <c r="AR131" s="6"/>
      <c r="AS131" s="6"/>
      <c r="AT131" s="6"/>
      <c r="AU131" s="6"/>
      <c r="AV131" s="6"/>
      <c r="AW131" s="6"/>
    </row>
    <row r="132" spans="18:49" ht="14.25" customHeight="1">
      <c r="R132" s="280"/>
      <c r="V132" s="278"/>
      <c r="AB132" s="6"/>
      <c r="AC132" s="6"/>
      <c r="AD132" s="6"/>
      <c r="AE132" s="6"/>
      <c r="AF132" s="6"/>
      <c r="AG132" s="6"/>
      <c r="AH132" s="6"/>
      <c r="AI132" s="6"/>
      <c r="AJ132" s="6"/>
      <c r="AK132" s="6"/>
      <c r="AL132" s="6"/>
      <c r="AM132" s="6"/>
      <c r="AN132" s="6"/>
      <c r="AO132" s="6"/>
      <c r="AP132" s="6"/>
      <c r="AQ132" s="6"/>
      <c r="AR132" s="6"/>
      <c r="AS132" s="6"/>
      <c r="AT132" s="6"/>
      <c r="AU132" s="6"/>
      <c r="AV132" s="6"/>
      <c r="AW132" s="6"/>
    </row>
    <row r="133" spans="28:49" ht="14.25" customHeight="1">
      <c r="AB133" s="6"/>
      <c r="AC133" s="6"/>
      <c r="AD133" s="6"/>
      <c r="AE133" s="6"/>
      <c r="AF133" s="6"/>
      <c r="AG133" s="6"/>
      <c r="AH133" s="6"/>
      <c r="AI133" s="6"/>
      <c r="AJ133" s="6"/>
      <c r="AK133" s="6"/>
      <c r="AL133" s="6"/>
      <c r="AM133" s="6"/>
      <c r="AN133" s="6"/>
      <c r="AO133" s="6"/>
      <c r="AP133" s="6"/>
      <c r="AQ133" s="6"/>
      <c r="AR133" s="6"/>
      <c r="AS133" s="6"/>
      <c r="AT133" s="6"/>
      <c r="AU133" s="6"/>
      <c r="AV133" s="6"/>
      <c r="AW133" s="6"/>
    </row>
    <row r="134" spans="18:49" ht="14.25" customHeight="1">
      <c r="R134" s="281"/>
      <c r="S134" s="282"/>
      <c r="T134" s="6"/>
      <c r="AB134" s="6"/>
      <c r="AC134" s="6"/>
      <c r="AD134" s="6"/>
      <c r="AE134" s="6"/>
      <c r="AF134" s="6"/>
      <c r="AG134" s="6"/>
      <c r="AH134" s="6"/>
      <c r="AI134" s="6"/>
      <c r="AJ134" s="6"/>
      <c r="AK134" s="6"/>
      <c r="AL134" s="6"/>
      <c r="AM134" s="6"/>
      <c r="AN134" s="6"/>
      <c r="AO134" s="6"/>
      <c r="AP134" s="6"/>
      <c r="AQ134" s="6"/>
      <c r="AR134" s="6"/>
      <c r="AS134" s="6"/>
      <c r="AT134" s="6"/>
      <c r="AU134" s="6"/>
      <c r="AV134" s="6"/>
      <c r="AW134" s="6"/>
    </row>
    <row r="135" spans="18:49" ht="14.25" customHeight="1">
      <c r="R135" s="281"/>
      <c r="S135" s="282"/>
      <c r="AB135" s="6"/>
      <c r="AC135" s="6"/>
      <c r="AD135" s="6"/>
      <c r="AE135" s="6"/>
      <c r="AF135" s="6"/>
      <c r="AG135" s="6"/>
      <c r="AH135" s="6"/>
      <c r="AI135" s="6"/>
      <c r="AJ135" s="6"/>
      <c r="AK135" s="6"/>
      <c r="AL135" s="6"/>
      <c r="AM135" s="6"/>
      <c r="AN135" s="6"/>
      <c r="AO135" s="6"/>
      <c r="AP135" s="6"/>
      <c r="AQ135" s="6"/>
      <c r="AR135" s="6"/>
      <c r="AS135" s="6"/>
      <c r="AT135" s="6"/>
      <c r="AU135" s="6"/>
      <c r="AV135" s="6"/>
      <c r="AW135" s="6"/>
    </row>
    <row r="136" spans="18:49" ht="14.25" customHeight="1">
      <c r="R136" s="281"/>
      <c r="S136" s="282"/>
      <c r="AB136" s="6"/>
      <c r="AC136" s="6"/>
      <c r="AD136" s="6"/>
      <c r="AE136" s="6"/>
      <c r="AF136" s="6"/>
      <c r="AG136" s="6"/>
      <c r="AH136" s="6"/>
      <c r="AI136" s="6"/>
      <c r="AJ136" s="6"/>
      <c r="AK136" s="6"/>
      <c r="AL136" s="6"/>
      <c r="AM136" s="6"/>
      <c r="AN136" s="6"/>
      <c r="AO136" s="6"/>
      <c r="AP136" s="6"/>
      <c r="AQ136" s="6"/>
      <c r="AR136" s="6"/>
      <c r="AS136" s="6"/>
      <c r="AT136" s="6"/>
      <c r="AU136" s="6"/>
      <c r="AV136" s="6"/>
      <c r="AW136" s="6"/>
    </row>
    <row r="137" spans="18:49" ht="14.25" customHeight="1">
      <c r="R137" s="281"/>
      <c r="S137" s="282"/>
      <c r="AB137" s="6"/>
      <c r="AC137" s="6"/>
      <c r="AD137" s="6"/>
      <c r="AE137" s="6"/>
      <c r="AF137" s="6"/>
      <c r="AG137" s="6"/>
      <c r="AH137" s="6"/>
      <c r="AI137" s="6"/>
      <c r="AJ137" s="6"/>
      <c r="AK137" s="6"/>
      <c r="AL137" s="6"/>
      <c r="AM137" s="6"/>
      <c r="AN137" s="6"/>
      <c r="AO137" s="6"/>
      <c r="AP137" s="6"/>
      <c r="AQ137" s="6"/>
      <c r="AR137" s="6"/>
      <c r="AS137" s="6"/>
      <c r="AT137" s="6"/>
      <c r="AU137" s="6"/>
      <c r="AV137" s="6"/>
      <c r="AW137" s="6"/>
    </row>
    <row r="138" spans="18:49" ht="14.25" customHeight="1">
      <c r="R138" s="281"/>
      <c r="S138" s="282"/>
      <c r="AB138" s="6"/>
      <c r="AC138" s="6"/>
      <c r="AD138" s="6"/>
      <c r="AE138" s="6"/>
      <c r="AF138" s="6"/>
      <c r="AG138" s="6"/>
      <c r="AH138" s="6"/>
      <c r="AI138" s="6"/>
      <c r="AJ138" s="6"/>
      <c r="AK138" s="6"/>
      <c r="AL138" s="6"/>
      <c r="AM138" s="6"/>
      <c r="AN138" s="6"/>
      <c r="AO138" s="6"/>
      <c r="AP138" s="6"/>
      <c r="AQ138" s="6"/>
      <c r="AR138" s="6"/>
      <c r="AS138" s="6"/>
      <c r="AT138" s="6"/>
      <c r="AU138" s="6"/>
      <c r="AV138" s="6"/>
      <c r="AW138" s="6"/>
    </row>
    <row r="139" spans="18:49" ht="14.25" customHeight="1">
      <c r="R139" s="281"/>
      <c r="S139" s="282"/>
      <c r="U139" s="280"/>
      <c r="AB139" s="6"/>
      <c r="AC139" s="6"/>
      <c r="AD139" s="6"/>
      <c r="AE139" s="6"/>
      <c r="AF139" s="6"/>
      <c r="AG139" s="6"/>
      <c r="AH139" s="6"/>
      <c r="AI139" s="6"/>
      <c r="AJ139" s="6"/>
      <c r="AK139" s="6"/>
      <c r="AL139" s="6"/>
      <c r="AM139" s="6"/>
      <c r="AN139" s="6"/>
      <c r="AO139" s="6"/>
      <c r="AP139" s="6"/>
      <c r="AQ139" s="6"/>
      <c r="AR139" s="6"/>
      <c r="AS139" s="6"/>
      <c r="AT139" s="6"/>
      <c r="AU139" s="6"/>
      <c r="AV139" s="6"/>
      <c r="AW139" s="6"/>
    </row>
    <row r="140" spans="18:49" ht="14.25" customHeight="1">
      <c r="R140" s="281"/>
      <c r="S140" s="282"/>
      <c r="U140" s="280"/>
      <c r="V140" s="283"/>
      <c r="X140" s="284"/>
      <c r="AB140" s="6"/>
      <c r="AC140" s="6"/>
      <c r="AD140" s="6"/>
      <c r="AE140" s="6"/>
      <c r="AF140" s="6"/>
      <c r="AG140" s="6"/>
      <c r="AH140" s="6"/>
      <c r="AI140" s="6"/>
      <c r="AJ140" s="6"/>
      <c r="AK140" s="6"/>
      <c r="AL140" s="6"/>
      <c r="AM140" s="6"/>
      <c r="AN140" s="6"/>
      <c r="AO140" s="6"/>
      <c r="AP140" s="6"/>
      <c r="AQ140" s="6"/>
      <c r="AR140" s="6"/>
      <c r="AS140" s="6"/>
      <c r="AT140" s="6"/>
      <c r="AU140" s="6"/>
      <c r="AV140" s="6"/>
      <c r="AW140" s="6"/>
    </row>
    <row r="141" spans="18:49" ht="14.25" customHeight="1">
      <c r="R141" s="281"/>
      <c r="U141" s="280"/>
      <c r="V141" s="283"/>
      <c r="X141" s="284"/>
      <c r="AB141" s="6"/>
      <c r="AC141" s="6"/>
      <c r="AD141" s="6"/>
      <c r="AE141" s="6"/>
      <c r="AF141" s="6"/>
      <c r="AG141" s="6"/>
      <c r="AH141" s="6"/>
      <c r="AI141" s="6"/>
      <c r="AJ141" s="6"/>
      <c r="AK141" s="6"/>
      <c r="AL141" s="6"/>
      <c r="AM141" s="6"/>
      <c r="AN141" s="6"/>
      <c r="AO141" s="6"/>
      <c r="AP141" s="6"/>
      <c r="AQ141" s="6"/>
      <c r="AR141" s="6"/>
      <c r="AS141" s="6"/>
      <c r="AT141" s="6"/>
      <c r="AU141" s="6"/>
      <c r="AV141" s="6"/>
      <c r="AW141" s="6"/>
    </row>
    <row r="142" spans="18:49" ht="14.25" customHeight="1">
      <c r="R142" s="281"/>
      <c r="U142" s="280"/>
      <c r="V142" s="283"/>
      <c r="X142" s="284"/>
      <c r="AB142" s="6"/>
      <c r="AC142" s="6"/>
      <c r="AD142" s="6"/>
      <c r="AE142" s="6"/>
      <c r="AF142" s="6"/>
      <c r="AG142" s="6"/>
      <c r="AH142" s="6"/>
      <c r="AI142" s="6"/>
      <c r="AJ142" s="6"/>
      <c r="AK142" s="6"/>
      <c r="AL142" s="6"/>
      <c r="AM142" s="6"/>
      <c r="AN142" s="6"/>
      <c r="AO142" s="6"/>
      <c r="AP142" s="6"/>
      <c r="AQ142" s="6"/>
      <c r="AR142" s="6"/>
      <c r="AS142" s="6"/>
      <c r="AT142" s="6"/>
      <c r="AU142" s="6"/>
      <c r="AV142" s="6"/>
      <c r="AW142" s="6"/>
    </row>
    <row r="143" spans="18:49" ht="14.25" customHeight="1">
      <c r="R143" s="281"/>
      <c r="U143" s="280"/>
      <c r="V143" s="283"/>
      <c r="X143" s="284"/>
      <c r="AB143" s="6"/>
      <c r="AC143" s="6"/>
      <c r="AD143" s="6"/>
      <c r="AE143" s="6"/>
      <c r="AF143" s="6"/>
      <c r="AG143" s="6"/>
      <c r="AH143" s="6"/>
      <c r="AI143" s="6"/>
      <c r="AJ143" s="6"/>
      <c r="AK143" s="6"/>
      <c r="AL143" s="6"/>
      <c r="AM143" s="6"/>
      <c r="AN143" s="6"/>
      <c r="AO143" s="6"/>
      <c r="AP143" s="6"/>
      <c r="AQ143" s="6"/>
      <c r="AR143" s="6"/>
      <c r="AS143" s="6"/>
      <c r="AT143" s="6"/>
      <c r="AU143" s="6"/>
      <c r="AV143" s="6"/>
      <c r="AW143" s="6"/>
    </row>
    <row r="144" spans="21:49" ht="14.25" customHeight="1">
      <c r="U144" s="280"/>
      <c r="V144" s="283"/>
      <c r="X144" s="284"/>
      <c r="AB144" s="6"/>
      <c r="AC144" s="6"/>
      <c r="AD144" s="6"/>
      <c r="AE144" s="6"/>
      <c r="AF144" s="6"/>
      <c r="AG144" s="6"/>
      <c r="AH144" s="6"/>
      <c r="AI144" s="6"/>
      <c r="AJ144" s="6"/>
      <c r="AK144" s="6"/>
      <c r="AL144" s="6"/>
      <c r="AM144" s="6"/>
      <c r="AN144" s="6"/>
      <c r="AO144" s="6"/>
      <c r="AP144" s="6"/>
      <c r="AQ144" s="6"/>
      <c r="AR144" s="6"/>
      <c r="AS144" s="6"/>
      <c r="AT144" s="6"/>
      <c r="AU144" s="6"/>
      <c r="AV144" s="6"/>
      <c r="AW144" s="6"/>
    </row>
    <row r="145" spans="21:49" ht="14.25" customHeight="1">
      <c r="U145" s="280"/>
      <c r="V145" s="283"/>
      <c r="X145" s="284"/>
      <c r="AB145" s="6"/>
      <c r="AC145" s="6"/>
      <c r="AD145" s="6"/>
      <c r="AE145" s="6"/>
      <c r="AF145" s="6"/>
      <c r="AG145" s="6"/>
      <c r="AH145" s="6"/>
      <c r="AI145" s="6"/>
      <c r="AJ145" s="6"/>
      <c r="AK145" s="6"/>
      <c r="AL145" s="6"/>
      <c r="AM145" s="6"/>
      <c r="AN145" s="6"/>
      <c r="AO145" s="6"/>
      <c r="AP145" s="6"/>
      <c r="AQ145" s="6"/>
      <c r="AR145" s="6"/>
      <c r="AS145" s="6"/>
      <c r="AT145" s="6"/>
      <c r="AU145" s="6"/>
      <c r="AV145" s="6"/>
      <c r="AW145" s="6"/>
    </row>
    <row r="146" spans="21:49" ht="14.25" customHeight="1">
      <c r="U146" s="280"/>
      <c r="V146" s="283"/>
      <c r="W146" s="285"/>
      <c r="X146" s="284"/>
      <c r="AB146" s="6"/>
      <c r="AC146" s="6"/>
      <c r="AD146" s="6"/>
      <c r="AE146" s="6"/>
      <c r="AF146" s="6"/>
      <c r="AG146" s="6"/>
      <c r="AH146" s="6"/>
      <c r="AI146" s="6"/>
      <c r="AJ146" s="6"/>
      <c r="AK146" s="6"/>
      <c r="AL146" s="6"/>
      <c r="AM146" s="6"/>
      <c r="AN146" s="6"/>
      <c r="AO146" s="6"/>
      <c r="AP146" s="6"/>
      <c r="AQ146" s="6"/>
      <c r="AR146" s="6"/>
      <c r="AS146" s="6"/>
      <c r="AT146" s="6"/>
      <c r="AU146" s="6"/>
      <c r="AV146" s="6"/>
      <c r="AW146" s="6"/>
    </row>
    <row r="147" spans="21:49" ht="14.25" customHeight="1">
      <c r="U147" s="280"/>
      <c r="V147" s="283"/>
      <c r="W147" s="285"/>
      <c r="X147" s="284"/>
      <c r="AB147" s="6"/>
      <c r="AC147" s="6"/>
      <c r="AD147" s="6"/>
      <c r="AE147" s="6"/>
      <c r="AF147" s="6"/>
      <c r="AG147" s="6"/>
      <c r="AH147" s="6"/>
      <c r="AI147" s="6"/>
      <c r="AJ147" s="6"/>
      <c r="AK147" s="6"/>
      <c r="AL147" s="6"/>
      <c r="AM147" s="6"/>
      <c r="AN147" s="6"/>
      <c r="AO147" s="6"/>
      <c r="AP147" s="6"/>
      <c r="AQ147" s="6"/>
      <c r="AR147" s="6"/>
      <c r="AS147" s="6"/>
      <c r="AT147" s="6"/>
      <c r="AU147" s="6"/>
      <c r="AV147" s="6"/>
      <c r="AW147" s="6"/>
    </row>
    <row r="148" spans="18:49" ht="14.25" customHeight="1">
      <c r="R148" s="280"/>
      <c r="U148" s="280"/>
      <c r="V148" s="283"/>
      <c r="W148" s="285"/>
      <c r="X148" s="284"/>
      <c r="AB148" s="6"/>
      <c r="AC148" s="6"/>
      <c r="AD148" s="6"/>
      <c r="AE148" s="6"/>
      <c r="AF148" s="6"/>
      <c r="AG148" s="6"/>
      <c r="AH148" s="6"/>
      <c r="AI148" s="6"/>
      <c r="AJ148" s="6"/>
      <c r="AK148" s="6"/>
      <c r="AL148" s="6"/>
      <c r="AM148" s="6"/>
      <c r="AN148" s="6"/>
      <c r="AO148" s="6"/>
      <c r="AP148" s="6"/>
      <c r="AQ148" s="6"/>
      <c r="AR148" s="6"/>
      <c r="AS148" s="6"/>
      <c r="AT148" s="6"/>
      <c r="AU148" s="6"/>
      <c r="AV148" s="6"/>
      <c r="AW148" s="6"/>
    </row>
    <row r="149" spans="21:49" ht="14.25" customHeight="1">
      <c r="U149" s="280"/>
      <c r="V149" s="283"/>
      <c r="W149" s="285"/>
      <c r="X149" s="284"/>
      <c r="AB149" s="6"/>
      <c r="AC149" s="6"/>
      <c r="AD149" s="6"/>
      <c r="AE149" s="6"/>
      <c r="AF149" s="6"/>
      <c r="AG149" s="6"/>
      <c r="AH149" s="6"/>
      <c r="AI149" s="6"/>
      <c r="AJ149" s="6"/>
      <c r="AK149" s="6"/>
      <c r="AL149" s="6"/>
      <c r="AM149" s="6"/>
      <c r="AN149" s="6"/>
      <c r="AO149" s="6"/>
      <c r="AP149" s="6"/>
      <c r="AQ149" s="6"/>
      <c r="AR149" s="6"/>
      <c r="AS149" s="6"/>
      <c r="AT149" s="6"/>
      <c r="AU149" s="6"/>
      <c r="AV149" s="6"/>
      <c r="AW149" s="6"/>
    </row>
    <row r="150" spans="21:49" ht="14.25" customHeight="1">
      <c r="U150" s="280"/>
      <c r="V150" s="283"/>
      <c r="W150" s="285"/>
      <c r="X150" s="284"/>
      <c r="AB150" s="6"/>
      <c r="AC150" s="6"/>
      <c r="AD150" s="6"/>
      <c r="AE150" s="6"/>
      <c r="AF150" s="6"/>
      <c r="AG150" s="6"/>
      <c r="AH150" s="6"/>
      <c r="AI150" s="6"/>
      <c r="AJ150" s="6"/>
      <c r="AK150" s="6"/>
      <c r="AL150" s="6"/>
      <c r="AM150" s="6"/>
      <c r="AN150" s="6"/>
      <c r="AO150" s="6"/>
      <c r="AP150" s="6"/>
      <c r="AQ150" s="6"/>
      <c r="AR150" s="6"/>
      <c r="AS150" s="6"/>
      <c r="AT150" s="6"/>
      <c r="AU150" s="6"/>
      <c r="AV150" s="6"/>
      <c r="AW150" s="6"/>
    </row>
    <row r="151" spans="18:49" ht="14.25" customHeight="1">
      <c r="R151" s="50"/>
      <c r="U151" s="280"/>
      <c r="V151" s="283"/>
      <c r="W151" s="285"/>
      <c r="X151" s="284"/>
      <c r="AB151" s="6"/>
      <c r="AC151" s="6"/>
      <c r="AD151" s="6"/>
      <c r="AE151" s="6"/>
      <c r="AF151" s="6"/>
      <c r="AG151" s="6"/>
      <c r="AH151" s="6"/>
      <c r="AI151" s="6"/>
      <c r="AJ151" s="6"/>
      <c r="AK151" s="6"/>
      <c r="AL151" s="6"/>
      <c r="AM151" s="6"/>
      <c r="AN151" s="6"/>
      <c r="AO151" s="6"/>
      <c r="AP151" s="6"/>
      <c r="AQ151" s="6"/>
      <c r="AR151" s="6"/>
      <c r="AS151" s="6"/>
      <c r="AT151" s="6"/>
      <c r="AU151" s="6"/>
      <c r="AV151" s="6"/>
      <c r="AW151" s="6"/>
    </row>
    <row r="152" spans="21:49" ht="14.25" customHeight="1">
      <c r="U152" s="280"/>
      <c r="V152" s="283"/>
      <c r="W152" s="285"/>
      <c r="X152" s="284"/>
      <c r="AB152" s="6"/>
      <c r="AC152" s="6"/>
      <c r="AD152" s="6"/>
      <c r="AE152" s="6"/>
      <c r="AF152" s="6"/>
      <c r="AG152" s="6"/>
      <c r="AH152" s="6"/>
      <c r="AI152" s="6"/>
      <c r="AJ152" s="6"/>
      <c r="AK152" s="6"/>
      <c r="AL152" s="6"/>
      <c r="AM152" s="6"/>
      <c r="AN152" s="6"/>
      <c r="AO152" s="6"/>
      <c r="AP152" s="6"/>
      <c r="AQ152" s="6"/>
      <c r="AR152" s="6"/>
      <c r="AS152" s="6"/>
      <c r="AT152" s="6"/>
      <c r="AU152" s="6"/>
      <c r="AV152" s="6"/>
      <c r="AW152" s="6"/>
    </row>
    <row r="153" spans="21:49" ht="14.25" customHeight="1">
      <c r="U153" s="280"/>
      <c r="V153" s="283"/>
      <c r="W153" s="285"/>
      <c r="X153" s="284"/>
      <c r="AB153" s="6"/>
      <c r="AC153" s="6"/>
      <c r="AD153" s="6"/>
      <c r="AE153" s="6"/>
      <c r="AF153" s="6"/>
      <c r="AG153" s="6"/>
      <c r="AH153" s="6"/>
      <c r="AI153" s="6"/>
      <c r="AJ153" s="6"/>
      <c r="AK153" s="6"/>
      <c r="AL153" s="6"/>
      <c r="AM153" s="6"/>
      <c r="AN153" s="6"/>
      <c r="AO153" s="6"/>
      <c r="AP153" s="6"/>
      <c r="AQ153" s="6"/>
      <c r="AR153" s="6"/>
      <c r="AS153" s="6"/>
      <c r="AT153" s="6"/>
      <c r="AU153" s="6"/>
      <c r="AV153" s="6"/>
      <c r="AW153" s="6"/>
    </row>
    <row r="154" spans="21:49" ht="14.25" customHeight="1">
      <c r="U154" s="280"/>
      <c r="V154" s="283"/>
      <c r="W154" s="285"/>
      <c r="X154" s="284"/>
      <c r="AB154" s="6"/>
      <c r="AC154" s="6"/>
      <c r="AD154" s="6"/>
      <c r="AE154" s="6"/>
      <c r="AF154" s="6"/>
      <c r="AG154" s="6"/>
      <c r="AH154" s="6"/>
      <c r="AI154" s="6"/>
      <c r="AJ154" s="6"/>
      <c r="AK154" s="6"/>
      <c r="AL154" s="6"/>
      <c r="AM154" s="6"/>
      <c r="AN154" s="6"/>
      <c r="AO154" s="6"/>
      <c r="AP154" s="6"/>
      <c r="AQ154" s="6"/>
      <c r="AR154" s="6"/>
      <c r="AS154" s="6"/>
      <c r="AT154" s="6"/>
      <c r="AU154" s="6"/>
      <c r="AV154" s="6"/>
      <c r="AW154" s="6"/>
    </row>
    <row r="155" spans="21:49" ht="14.25" customHeight="1">
      <c r="U155" s="280"/>
      <c r="V155" s="283"/>
      <c r="W155" s="285"/>
      <c r="X155" s="284"/>
      <c r="AB155" s="6"/>
      <c r="AC155" s="6"/>
      <c r="AD155" s="6"/>
      <c r="AE155" s="6"/>
      <c r="AF155" s="6"/>
      <c r="AG155" s="6"/>
      <c r="AH155" s="6"/>
      <c r="AI155" s="6"/>
      <c r="AJ155" s="6"/>
      <c r="AK155" s="6"/>
      <c r="AL155" s="6"/>
      <c r="AM155" s="6"/>
      <c r="AN155" s="6"/>
      <c r="AO155" s="6"/>
      <c r="AP155" s="6"/>
      <c r="AQ155" s="6"/>
      <c r="AR155" s="6"/>
      <c r="AS155" s="6"/>
      <c r="AT155" s="6"/>
      <c r="AU155" s="6"/>
      <c r="AV155" s="6"/>
      <c r="AW155" s="6"/>
    </row>
    <row r="156" spans="21:49" ht="14.25" customHeight="1">
      <c r="U156" s="280"/>
      <c r="V156" s="283"/>
      <c r="W156" s="285"/>
      <c r="X156" s="284"/>
      <c r="AB156" s="6"/>
      <c r="AC156" s="6"/>
      <c r="AD156" s="6"/>
      <c r="AE156" s="6"/>
      <c r="AF156" s="6"/>
      <c r="AG156" s="6"/>
      <c r="AH156" s="6"/>
      <c r="AI156" s="6"/>
      <c r="AJ156" s="6"/>
      <c r="AK156" s="6"/>
      <c r="AL156" s="6"/>
      <c r="AM156" s="6"/>
      <c r="AN156" s="6"/>
      <c r="AO156" s="6"/>
      <c r="AP156" s="6"/>
      <c r="AQ156" s="6"/>
      <c r="AR156" s="6"/>
      <c r="AS156" s="6"/>
      <c r="AT156" s="6"/>
      <c r="AU156" s="6"/>
      <c r="AV156" s="6"/>
      <c r="AW156" s="6"/>
    </row>
    <row r="157" spans="21:49" ht="14.25" customHeight="1">
      <c r="U157" s="280"/>
      <c r="V157" s="283"/>
      <c r="W157" s="285"/>
      <c r="X157" s="284"/>
      <c r="AB157" s="6"/>
      <c r="AC157" s="6"/>
      <c r="AD157" s="6"/>
      <c r="AE157" s="6"/>
      <c r="AF157" s="6"/>
      <c r="AG157" s="6"/>
      <c r="AH157" s="6"/>
      <c r="AI157" s="6"/>
      <c r="AJ157" s="6"/>
      <c r="AK157" s="6"/>
      <c r="AL157" s="6"/>
      <c r="AM157" s="6"/>
      <c r="AN157" s="6"/>
      <c r="AO157" s="6"/>
      <c r="AP157" s="6"/>
      <c r="AQ157" s="6"/>
      <c r="AR157" s="6"/>
      <c r="AS157" s="6"/>
      <c r="AT157" s="6"/>
      <c r="AU157" s="6"/>
      <c r="AV157" s="6"/>
      <c r="AW157" s="6"/>
    </row>
    <row r="158" spans="28:49" ht="14.25" customHeight="1">
      <c r="AB158" s="6"/>
      <c r="AC158" s="6"/>
      <c r="AD158" s="6"/>
      <c r="AE158" s="6"/>
      <c r="AF158" s="6"/>
      <c r="AG158" s="6"/>
      <c r="AH158" s="6"/>
      <c r="AI158" s="6"/>
      <c r="AJ158" s="6"/>
      <c r="AK158" s="6"/>
      <c r="AL158" s="6"/>
      <c r="AM158" s="6"/>
      <c r="AN158" s="6"/>
      <c r="AO158" s="6"/>
      <c r="AP158" s="6"/>
      <c r="AQ158" s="6"/>
      <c r="AR158" s="6"/>
      <c r="AS158" s="6"/>
      <c r="AT158" s="6"/>
      <c r="AU158" s="6"/>
      <c r="AV158" s="6"/>
      <c r="AW158" s="6"/>
    </row>
    <row r="159" spans="18:49" ht="14.25" customHeight="1">
      <c r="R159" s="50"/>
      <c r="U159" s="285"/>
      <c r="AB159" s="6"/>
      <c r="AC159" s="6"/>
      <c r="AD159" s="6"/>
      <c r="AE159" s="6"/>
      <c r="AF159" s="6"/>
      <c r="AG159" s="6"/>
      <c r="AH159" s="6"/>
      <c r="AI159" s="6"/>
      <c r="AJ159" s="6"/>
      <c r="AK159" s="6"/>
      <c r="AL159" s="6"/>
      <c r="AM159" s="6"/>
      <c r="AN159" s="6"/>
      <c r="AO159" s="6"/>
      <c r="AP159" s="6"/>
      <c r="AQ159" s="6"/>
      <c r="AR159" s="6"/>
      <c r="AS159" s="6"/>
      <c r="AT159" s="6"/>
      <c r="AU159" s="6"/>
      <c r="AV159" s="6"/>
      <c r="AW159" s="6"/>
    </row>
    <row r="160" spans="21:49" ht="14.25" customHeight="1">
      <c r="U160" s="285"/>
      <c r="V160" s="283"/>
      <c r="W160" s="280"/>
      <c r="AB160" s="6"/>
      <c r="AC160" s="6"/>
      <c r="AD160" s="6"/>
      <c r="AE160" s="6"/>
      <c r="AF160" s="6"/>
      <c r="AG160" s="6"/>
      <c r="AH160" s="6"/>
      <c r="AI160" s="6"/>
      <c r="AJ160" s="6"/>
      <c r="AK160" s="6"/>
      <c r="AL160" s="6"/>
      <c r="AM160" s="6"/>
      <c r="AN160" s="6"/>
      <c r="AO160" s="6"/>
      <c r="AP160" s="6"/>
      <c r="AQ160" s="6"/>
      <c r="AR160" s="6"/>
      <c r="AS160" s="6"/>
      <c r="AT160" s="6"/>
      <c r="AU160" s="6"/>
      <c r="AV160" s="6"/>
      <c r="AW160" s="6"/>
    </row>
    <row r="161" spans="21:49" ht="14.25" customHeight="1">
      <c r="U161" s="285"/>
      <c r="V161" s="283"/>
      <c r="AB161" s="6"/>
      <c r="AC161" s="6"/>
      <c r="AD161" s="6"/>
      <c r="AE161" s="6"/>
      <c r="AF161" s="6"/>
      <c r="AG161" s="6"/>
      <c r="AH161" s="6"/>
      <c r="AI161" s="6"/>
      <c r="AJ161" s="6"/>
      <c r="AK161" s="6"/>
      <c r="AL161" s="6"/>
      <c r="AM161" s="6"/>
      <c r="AN161" s="6"/>
      <c r="AO161" s="6"/>
      <c r="AP161" s="6"/>
      <c r="AQ161" s="6"/>
      <c r="AR161" s="6"/>
      <c r="AS161" s="6"/>
      <c r="AT161" s="6"/>
      <c r="AU161" s="6"/>
      <c r="AV161" s="6"/>
      <c r="AW161" s="6"/>
    </row>
    <row r="162" spans="21:49" ht="14.25" customHeight="1">
      <c r="U162" s="285"/>
      <c r="V162" s="283"/>
      <c r="AB162" s="6"/>
      <c r="AC162" s="6"/>
      <c r="AD162" s="6"/>
      <c r="AE162" s="6"/>
      <c r="AF162" s="6"/>
      <c r="AG162" s="6"/>
      <c r="AH162" s="6"/>
      <c r="AI162" s="6"/>
      <c r="AJ162" s="6"/>
      <c r="AK162" s="6"/>
      <c r="AL162" s="6"/>
      <c r="AM162" s="6"/>
      <c r="AN162" s="6"/>
      <c r="AO162" s="6"/>
      <c r="AP162" s="6"/>
      <c r="AQ162" s="6"/>
      <c r="AR162" s="6"/>
      <c r="AS162" s="6"/>
      <c r="AT162" s="6"/>
      <c r="AU162" s="6"/>
      <c r="AV162" s="6"/>
      <c r="AW162" s="6"/>
    </row>
    <row r="163" spans="21:49" ht="14.25" customHeight="1">
      <c r="U163" s="285"/>
      <c r="V163" s="283"/>
      <c r="AB163" s="6"/>
      <c r="AC163" s="6"/>
      <c r="AD163" s="6"/>
      <c r="AE163" s="6"/>
      <c r="AF163" s="6"/>
      <c r="AG163" s="6"/>
      <c r="AH163" s="6"/>
      <c r="AI163" s="6"/>
      <c r="AJ163" s="6"/>
      <c r="AK163" s="6"/>
      <c r="AL163" s="6"/>
      <c r="AM163" s="6"/>
      <c r="AN163" s="6"/>
      <c r="AO163" s="6"/>
      <c r="AP163" s="6"/>
      <c r="AQ163" s="6"/>
      <c r="AR163" s="6"/>
      <c r="AS163" s="6"/>
      <c r="AT163" s="6"/>
      <c r="AU163" s="6"/>
      <c r="AV163" s="6"/>
      <c r="AW163" s="6"/>
    </row>
    <row r="164" spans="18:49" ht="14.25" customHeight="1">
      <c r="R164" s="280"/>
      <c r="U164" s="285"/>
      <c r="V164" s="283"/>
      <c r="AB164" s="6"/>
      <c r="AC164" s="6"/>
      <c r="AD164" s="6"/>
      <c r="AE164" s="6"/>
      <c r="AF164" s="6"/>
      <c r="AG164" s="6"/>
      <c r="AH164" s="6"/>
      <c r="AI164" s="6"/>
      <c r="AJ164" s="6"/>
      <c r="AK164" s="6"/>
      <c r="AL164" s="6"/>
      <c r="AM164" s="6"/>
      <c r="AN164" s="6"/>
      <c r="AO164" s="6"/>
      <c r="AP164" s="6"/>
      <c r="AQ164" s="6"/>
      <c r="AR164" s="6"/>
      <c r="AS164" s="6"/>
      <c r="AT164" s="6"/>
      <c r="AU164" s="6"/>
      <c r="AV164" s="6"/>
      <c r="AW164" s="6"/>
    </row>
    <row r="165" spans="21:49" ht="14.25" customHeight="1">
      <c r="U165" s="285"/>
      <c r="V165" s="283"/>
      <c r="AB165" s="6"/>
      <c r="AC165" s="6"/>
      <c r="AD165" s="6"/>
      <c r="AE165" s="6"/>
      <c r="AF165" s="6"/>
      <c r="AG165" s="6"/>
      <c r="AH165" s="6"/>
      <c r="AI165" s="6"/>
      <c r="AJ165" s="6"/>
      <c r="AK165" s="6"/>
      <c r="AL165" s="6"/>
      <c r="AM165" s="6"/>
      <c r="AN165" s="6"/>
      <c r="AO165" s="6"/>
      <c r="AP165" s="6"/>
      <c r="AQ165" s="6"/>
      <c r="AR165" s="6"/>
      <c r="AS165" s="6"/>
      <c r="AT165" s="6"/>
      <c r="AU165" s="6"/>
      <c r="AV165" s="6"/>
      <c r="AW165" s="6"/>
    </row>
    <row r="166" spans="21:49" ht="14.25" customHeight="1">
      <c r="U166" s="280"/>
      <c r="V166" s="283"/>
      <c r="AB166" s="6"/>
      <c r="AC166" s="6"/>
      <c r="AD166" s="6"/>
      <c r="AE166" s="6"/>
      <c r="AF166" s="6"/>
      <c r="AG166" s="6"/>
      <c r="AH166" s="6"/>
      <c r="AI166" s="6"/>
      <c r="AJ166" s="6"/>
      <c r="AK166" s="6"/>
      <c r="AL166" s="6"/>
      <c r="AM166" s="6"/>
      <c r="AN166" s="6"/>
      <c r="AO166" s="6"/>
      <c r="AP166" s="6"/>
      <c r="AQ166" s="6"/>
      <c r="AR166" s="6"/>
      <c r="AS166" s="6"/>
      <c r="AT166" s="6"/>
      <c r="AU166" s="6"/>
      <c r="AV166" s="6"/>
      <c r="AW166" s="6"/>
    </row>
    <row r="167" spans="28:49" ht="14.25" customHeight="1">
      <c r="AB167" s="6"/>
      <c r="AC167" s="6"/>
      <c r="AD167" s="6"/>
      <c r="AE167" s="6"/>
      <c r="AF167" s="6"/>
      <c r="AG167" s="6"/>
      <c r="AH167" s="6"/>
      <c r="AI167" s="6"/>
      <c r="AJ167" s="6"/>
      <c r="AK167" s="6"/>
      <c r="AL167" s="6"/>
      <c r="AM167" s="6"/>
      <c r="AN167" s="6"/>
      <c r="AO167" s="6"/>
      <c r="AP167" s="6"/>
      <c r="AQ167" s="6"/>
      <c r="AR167" s="6"/>
      <c r="AS167" s="6"/>
      <c r="AT167" s="6"/>
      <c r="AU167" s="6"/>
      <c r="AV167" s="6"/>
      <c r="AW167" s="6"/>
    </row>
    <row r="168" spans="18:49" ht="14.25" customHeight="1">
      <c r="R168" s="50"/>
      <c r="AB168" s="6"/>
      <c r="AC168" s="6"/>
      <c r="AD168" s="6"/>
      <c r="AE168" s="6"/>
      <c r="AF168" s="6"/>
      <c r="AG168" s="6"/>
      <c r="AH168" s="6"/>
      <c r="AI168" s="6"/>
      <c r="AJ168" s="6"/>
      <c r="AK168" s="6"/>
      <c r="AL168" s="6"/>
      <c r="AM168" s="6"/>
      <c r="AN168" s="6"/>
      <c r="AO168" s="6"/>
      <c r="AP168" s="6"/>
      <c r="AQ168" s="6"/>
      <c r="AR168" s="6"/>
      <c r="AS168" s="6"/>
      <c r="AT168" s="6"/>
      <c r="AU168" s="6"/>
      <c r="AV168" s="6"/>
      <c r="AW168" s="6"/>
    </row>
    <row r="169" spans="21:49" ht="14.25" customHeight="1">
      <c r="U169" s="285"/>
      <c r="V169" s="283"/>
      <c r="AB169" s="6"/>
      <c r="AC169" s="6"/>
      <c r="AD169" s="6"/>
      <c r="AE169" s="6"/>
      <c r="AF169" s="6"/>
      <c r="AG169" s="6"/>
      <c r="AH169" s="6"/>
      <c r="AI169" s="6"/>
      <c r="AJ169" s="6"/>
      <c r="AK169" s="6"/>
      <c r="AL169" s="6"/>
      <c r="AM169" s="6"/>
      <c r="AN169" s="6"/>
      <c r="AO169" s="6"/>
      <c r="AP169" s="6"/>
      <c r="AQ169" s="6"/>
      <c r="AR169" s="6"/>
      <c r="AS169" s="6"/>
      <c r="AT169" s="6"/>
      <c r="AU169" s="6"/>
      <c r="AV169" s="6"/>
      <c r="AW169" s="6"/>
    </row>
    <row r="170" spans="21:49" ht="14.25" customHeight="1">
      <c r="U170" s="285"/>
      <c r="V170" s="283"/>
      <c r="AB170" s="6"/>
      <c r="AC170" s="6"/>
      <c r="AD170" s="6"/>
      <c r="AE170" s="6"/>
      <c r="AF170" s="6"/>
      <c r="AG170" s="6"/>
      <c r="AH170" s="6"/>
      <c r="AI170" s="6"/>
      <c r="AJ170" s="6"/>
      <c r="AK170" s="6"/>
      <c r="AL170" s="6"/>
      <c r="AM170" s="6"/>
      <c r="AN170" s="6"/>
      <c r="AO170" s="6"/>
      <c r="AP170" s="6"/>
      <c r="AQ170" s="6"/>
      <c r="AR170" s="6"/>
      <c r="AS170" s="6"/>
      <c r="AT170" s="6"/>
      <c r="AU170" s="6"/>
      <c r="AV170" s="6"/>
      <c r="AW170" s="6"/>
    </row>
    <row r="171" spans="21:49" ht="14.25" customHeight="1">
      <c r="U171" s="285"/>
      <c r="V171" s="283"/>
      <c r="AB171" s="6"/>
      <c r="AC171" s="6"/>
      <c r="AD171" s="6"/>
      <c r="AE171" s="6"/>
      <c r="AF171" s="6"/>
      <c r="AG171" s="6"/>
      <c r="AH171" s="6"/>
      <c r="AI171" s="6"/>
      <c r="AJ171" s="6"/>
      <c r="AK171" s="6"/>
      <c r="AL171" s="6"/>
      <c r="AM171" s="6"/>
      <c r="AN171" s="6"/>
      <c r="AO171" s="6"/>
      <c r="AP171" s="6"/>
      <c r="AQ171" s="6"/>
      <c r="AR171" s="6"/>
      <c r="AS171" s="6"/>
      <c r="AT171" s="6"/>
      <c r="AU171" s="6"/>
      <c r="AV171" s="6"/>
      <c r="AW171" s="6"/>
    </row>
    <row r="172" spans="21:49" ht="14.25" customHeight="1">
      <c r="U172" s="285"/>
      <c r="V172" s="283"/>
      <c r="AB172" s="6"/>
      <c r="AC172" s="6"/>
      <c r="AD172" s="6"/>
      <c r="AE172" s="6"/>
      <c r="AF172" s="6"/>
      <c r="AG172" s="6"/>
      <c r="AH172" s="6"/>
      <c r="AI172" s="6"/>
      <c r="AJ172" s="6"/>
      <c r="AK172" s="6"/>
      <c r="AL172" s="6"/>
      <c r="AM172" s="6"/>
      <c r="AN172" s="6"/>
      <c r="AO172" s="6"/>
      <c r="AP172" s="6"/>
      <c r="AQ172" s="6"/>
      <c r="AR172" s="6"/>
      <c r="AS172" s="6"/>
      <c r="AT172" s="6"/>
      <c r="AU172" s="6"/>
      <c r="AV172" s="6"/>
      <c r="AW172" s="6"/>
    </row>
    <row r="173" spans="21:49" ht="14.25" customHeight="1">
      <c r="U173" s="285"/>
      <c r="V173" s="283"/>
      <c r="AB173" s="6"/>
      <c r="AC173" s="6"/>
      <c r="AD173" s="6"/>
      <c r="AE173" s="6"/>
      <c r="AF173" s="6"/>
      <c r="AG173" s="6"/>
      <c r="AH173" s="6"/>
      <c r="AI173" s="6"/>
      <c r="AJ173" s="6"/>
      <c r="AK173" s="6"/>
      <c r="AL173" s="6"/>
      <c r="AM173" s="6"/>
      <c r="AN173" s="6"/>
      <c r="AO173" s="6"/>
      <c r="AP173" s="6"/>
      <c r="AQ173" s="6"/>
      <c r="AR173" s="6"/>
      <c r="AS173" s="6"/>
      <c r="AT173" s="6"/>
      <c r="AU173" s="6"/>
      <c r="AV173" s="6"/>
      <c r="AW173" s="6"/>
    </row>
    <row r="174" spans="21:49" ht="14.25" customHeight="1">
      <c r="U174" s="285"/>
      <c r="V174" s="283"/>
      <c r="AB174" s="6"/>
      <c r="AC174" s="6"/>
      <c r="AD174" s="6"/>
      <c r="AE174" s="6"/>
      <c r="AF174" s="6"/>
      <c r="AG174" s="6"/>
      <c r="AH174" s="6"/>
      <c r="AI174" s="6"/>
      <c r="AJ174" s="6"/>
      <c r="AK174" s="6"/>
      <c r="AL174" s="6"/>
      <c r="AM174" s="6"/>
      <c r="AN174" s="6"/>
      <c r="AO174" s="6"/>
      <c r="AP174" s="6"/>
      <c r="AQ174" s="6"/>
      <c r="AR174" s="6"/>
      <c r="AS174" s="6"/>
      <c r="AT174" s="6"/>
      <c r="AU174" s="6"/>
      <c r="AV174" s="6"/>
      <c r="AW174" s="6"/>
    </row>
    <row r="175" spans="22:49" ht="14.25" customHeight="1">
      <c r="V175" s="283"/>
      <c r="AB175" s="6"/>
      <c r="AC175" s="6"/>
      <c r="AD175" s="6"/>
      <c r="AE175" s="6"/>
      <c r="AF175" s="6"/>
      <c r="AG175" s="6"/>
      <c r="AH175" s="6"/>
      <c r="AI175" s="6"/>
      <c r="AJ175" s="6"/>
      <c r="AK175" s="6"/>
      <c r="AL175" s="6"/>
      <c r="AM175" s="6"/>
      <c r="AN175" s="6"/>
      <c r="AO175" s="6"/>
      <c r="AP175" s="6"/>
      <c r="AQ175" s="6"/>
      <c r="AR175" s="6"/>
      <c r="AS175" s="6"/>
      <c r="AT175" s="6"/>
      <c r="AU175" s="6"/>
      <c r="AV175" s="6"/>
      <c r="AW175" s="6"/>
    </row>
    <row r="176" spans="28:49" ht="14.25" customHeight="1">
      <c r="AB176" s="6"/>
      <c r="AC176" s="6"/>
      <c r="AD176" s="6"/>
      <c r="AE176" s="6"/>
      <c r="AF176" s="6"/>
      <c r="AG176" s="6"/>
      <c r="AH176" s="6"/>
      <c r="AI176" s="6"/>
      <c r="AJ176" s="6"/>
      <c r="AK176" s="6"/>
      <c r="AL176" s="6"/>
      <c r="AM176" s="6"/>
      <c r="AN176" s="6"/>
      <c r="AO176" s="6"/>
      <c r="AP176" s="6"/>
      <c r="AQ176" s="6"/>
      <c r="AR176" s="6"/>
      <c r="AS176" s="6"/>
      <c r="AT176" s="6"/>
      <c r="AU176" s="6"/>
      <c r="AV176" s="6"/>
      <c r="AW176" s="6"/>
    </row>
    <row r="177" spans="18:49" ht="14.25" customHeight="1">
      <c r="R177" s="50"/>
      <c r="AB177" s="6"/>
      <c r="AC177" s="6"/>
      <c r="AD177" s="6"/>
      <c r="AE177" s="6"/>
      <c r="AF177" s="6"/>
      <c r="AG177" s="6"/>
      <c r="AH177" s="6"/>
      <c r="AI177" s="6"/>
      <c r="AJ177" s="6"/>
      <c r="AK177" s="6"/>
      <c r="AL177" s="6"/>
      <c r="AM177" s="6"/>
      <c r="AN177" s="6"/>
      <c r="AO177" s="6"/>
      <c r="AP177" s="6"/>
      <c r="AQ177" s="6"/>
      <c r="AR177" s="6"/>
      <c r="AS177" s="6"/>
      <c r="AT177" s="6"/>
      <c r="AU177" s="6"/>
      <c r="AV177" s="6"/>
      <c r="AW177" s="6"/>
    </row>
    <row r="178" spans="21:49" ht="14.25" customHeight="1">
      <c r="U178" s="285"/>
      <c r="V178" s="283"/>
      <c r="AB178" s="6"/>
      <c r="AC178" s="6"/>
      <c r="AD178" s="6"/>
      <c r="AE178" s="6"/>
      <c r="AF178" s="6"/>
      <c r="AG178" s="6"/>
      <c r="AH178" s="6"/>
      <c r="AI178" s="6"/>
      <c r="AJ178" s="6"/>
      <c r="AK178" s="6"/>
      <c r="AL178" s="6"/>
      <c r="AM178" s="6"/>
      <c r="AN178" s="6"/>
      <c r="AO178" s="6"/>
      <c r="AP178" s="6"/>
      <c r="AQ178" s="6"/>
      <c r="AR178" s="6"/>
      <c r="AS178" s="6"/>
      <c r="AT178" s="6"/>
      <c r="AU178" s="6"/>
      <c r="AV178" s="6"/>
      <c r="AW178" s="6"/>
    </row>
    <row r="179" spans="21:49" ht="14.25" customHeight="1">
      <c r="U179" s="285"/>
      <c r="V179" s="283"/>
      <c r="AB179" s="6"/>
      <c r="AC179" s="6"/>
      <c r="AD179" s="6"/>
      <c r="AE179" s="6"/>
      <c r="AF179" s="6"/>
      <c r="AG179" s="6"/>
      <c r="AH179" s="6"/>
      <c r="AI179" s="6"/>
      <c r="AJ179" s="6"/>
      <c r="AK179" s="6"/>
      <c r="AL179" s="6"/>
      <c r="AM179" s="6"/>
      <c r="AN179" s="6"/>
      <c r="AO179" s="6"/>
      <c r="AP179" s="6"/>
      <c r="AQ179" s="6"/>
      <c r="AR179" s="6"/>
      <c r="AS179" s="6"/>
      <c r="AT179" s="6"/>
      <c r="AU179" s="6"/>
      <c r="AV179" s="6"/>
      <c r="AW179" s="6"/>
    </row>
    <row r="180" spans="21:49" ht="14.25" customHeight="1">
      <c r="U180" s="285"/>
      <c r="V180" s="283"/>
      <c r="AB180" s="6"/>
      <c r="AC180" s="6"/>
      <c r="AD180" s="6"/>
      <c r="AE180" s="6"/>
      <c r="AF180" s="6"/>
      <c r="AG180" s="6"/>
      <c r="AH180" s="6"/>
      <c r="AI180" s="6"/>
      <c r="AJ180" s="6"/>
      <c r="AK180" s="6"/>
      <c r="AL180" s="6"/>
      <c r="AM180" s="6"/>
      <c r="AN180" s="6"/>
      <c r="AO180" s="6"/>
      <c r="AP180" s="6"/>
      <c r="AQ180" s="6"/>
      <c r="AR180" s="6"/>
      <c r="AS180" s="6"/>
      <c r="AT180" s="6"/>
      <c r="AU180" s="6"/>
      <c r="AV180" s="6"/>
      <c r="AW180" s="6"/>
    </row>
    <row r="181" spans="21:49" ht="14.25" customHeight="1">
      <c r="U181" s="285"/>
      <c r="V181" s="283"/>
      <c r="AB181" s="6"/>
      <c r="AC181" s="6"/>
      <c r="AD181" s="6"/>
      <c r="AE181" s="6"/>
      <c r="AF181" s="6"/>
      <c r="AG181" s="6"/>
      <c r="AH181" s="6"/>
      <c r="AI181" s="6"/>
      <c r="AJ181" s="6"/>
      <c r="AK181" s="6"/>
      <c r="AL181" s="6"/>
      <c r="AM181" s="6"/>
      <c r="AN181" s="6"/>
      <c r="AO181" s="6"/>
      <c r="AP181" s="6"/>
      <c r="AQ181" s="6"/>
      <c r="AR181" s="6"/>
      <c r="AS181" s="6"/>
      <c r="AT181" s="6"/>
      <c r="AU181" s="6"/>
      <c r="AV181" s="6"/>
      <c r="AW181" s="6"/>
    </row>
    <row r="182" spans="21:49" ht="14.25" customHeight="1">
      <c r="U182" s="285"/>
      <c r="V182" s="283"/>
      <c r="AB182" s="6"/>
      <c r="AC182" s="6"/>
      <c r="AD182" s="6"/>
      <c r="AE182" s="6"/>
      <c r="AF182" s="6"/>
      <c r="AG182" s="6"/>
      <c r="AH182" s="6"/>
      <c r="AI182" s="6"/>
      <c r="AJ182" s="6"/>
      <c r="AK182" s="6"/>
      <c r="AL182" s="6"/>
      <c r="AM182" s="6"/>
      <c r="AN182" s="6"/>
      <c r="AO182" s="6"/>
      <c r="AP182" s="6"/>
      <c r="AQ182" s="6"/>
      <c r="AR182" s="6"/>
      <c r="AS182" s="6"/>
      <c r="AT182" s="6"/>
      <c r="AU182" s="6"/>
      <c r="AV182" s="6"/>
      <c r="AW182" s="6"/>
    </row>
    <row r="183" spans="21:49" ht="14.25" customHeight="1">
      <c r="U183" s="285"/>
      <c r="V183" s="283"/>
      <c r="AB183" s="6"/>
      <c r="AC183" s="6"/>
      <c r="AD183" s="6"/>
      <c r="AE183" s="6"/>
      <c r="AF183" s="6"/>
      <c r="AG183" s="6"/>
      <c r="AH183" s="6"/>
      <c r="AI183" s="6"/>
      <c r="AJ183" s="6"/>
      <c r="AK183" s="6"/>
      <c r="AL183" s="6"/>
      <c r="AM183" s="6"/>
      <c r="AN183" s="6"/>
      <c r="AO183" s="6"/>
      <c r="AP183" s="6"/>
      <c r="AQ183" s="6"/>
      <c r="AR183" s="6"/>
      <c r="AS183" s="6"/>
      <c r="AT183" s="6"/>
      <c r="AU183" s="6"/>
      <c r="AV183" s="6"/>
      <c r="AW183" s="6"/>
    </row>
    <row r="184" spans="21:49" ht="14.25" customHeight="1">
      <c r="U184" s="280"/>
      <c r="V184" s="283"/>
      <c r="AB184" s="6"/>
      <c r="AC184" s="6"/>
      <c r="AD184" s="6"/>
      <c r="AE184" s="6"/>
      <c r="AF184" s="6"/>
      <c r="AG184" s="6"/>
      <c r="AH184" s="6"/>
      <c r="AI184" s="6"/>
      <c r="AJ184" s="6"/>
      <c r="AK184" s="6"/>
      <c r="AL184" s="6"/>
      <c r="AM184" s="6"/>
      <c r="AN184" s="6"/>
      <c r="AO184" s="6"/>
      <c r="AP184" s="6"/>
      <c r="AQ184" s="6"/>
      <c r="AR184" s="6"/>
      <c r="AS184" s="6"/>
      <c r="AT184" s="6"/>
      <c r="AU184" s="6"/>
      <c r="AV184" s="6"/>
      <c r="AW184" s="6"/>
    </row>
    <row r="185" spans="28:49" ht="14.25" customHeight="1">
      <c r="AB185" s="6"/>
      <c r="AC185" s="6"/>
      <c r="AD185" s="6"/>
      <c r="AE185" s="6"/>
      <c r="AF185" s="6"/>
      <c r="AG185" s="6"/>
      <c r="AH185" s="6"/>
      <c r="AI185" s="6"/>
      <c r="AJ185" s="6"/>
      <c r="AK185" s="6"/>
      <c r="AL185" s="6"/>
      <c r="AM185" s="6"/>
      <c r="AN185" s="6"/>
      <c r="AO185" s="6"/>
      <c r="AP185" s="6"/>
      <c r="AQ185" s="6"/>
      <c r="AR185" s="6"/>
      <c r="AS185" s="6"/>
      <c r="AT185" s="6"/>
      <c r="AU185" s="6"/>
      <c r="AV185" s="6"/>
      <c r="AW185" s="6"/>
    </row>
    <row r="186" spans="18:49" ht="14.25" customHeight="1">
      <c r="R186" s="50"/>
      <c r="U186" s="285"/>
      <c r="AB186" s="6"/>
      <c r="AC186" s="6"/>
      <c r="AD186" s="6"/>
      <c r="AE186" s="6"/>
      <c r="AF186" s="6"/>
      <c r="AG186" s="6"/>
      <c r="AH186" s="6"/>
      <c r="AI186" s="6"/>
      <c r="AJ186" s="6"/>
      <c r="AK186" s="6"/>
      <c r="AL186" s="6"/>
      <c r="AM186" s="6"/>
      <c r="AN186" s="6"/>
      <c r="AO186" s="6"/>
      <c r="AP186" s="6"/>
      <c r="AQ186" s="6"/>
      <c r="AR186" s="6"/>
      <c r="AS186" s="6"/>
      <c r="AT186" s="6"/>
      <c r="AU186" s="6"/>
      <c r="AV186" s="6"/>
      <c r="AW186" s="6"/>
    </row>
    <row r="187" spans="21:49" ht="14.25" customHeight="1">
      <c r="U187" s="285"/>
      <c r="V187" s="283"/>
      <c r="AB187" s="6"/>
      <c r="AC187" s="6"/>
      <c r="AD187" s="6"/>
      <c r="AE187" s="6"/>
      <c r="AF187" s="6"/>
      <c r="AG187" s="6"/>
      <c r="AH187" s="6"/>
      <c r="AI187" s="6"/>
      <c r="AJ187" s="6"/>
      <c r="AK187" s="6"/>
      <c r="AL187" s="6"/>
      <c r="AM187" s="6"/>
      <c r="AN187" s="6"/>
      <c r="AO187" s="6"/>
      <c r="AP187" s="6"/>
      <c r="AQ187" s="6"/>
      <c r="AR187" s="6"/>
      <c r="AS187" s="6"/>
      <c r="AT187" s="6"/>
      <c r="AU187" s="6"/>
      <c r="AV187" s="6"/>
      <c r="AW187" s="6"/>
    </row>
    <row r="188" spans="21:49" ht="14.25" customHeight="1">
      <c r="U188" s="285"/>
      <c r="V188" s="283"/>
      <c r="AB188" s="6"/>
      <c r="AC188" s="6"/>
      <c r="AD188" s="6"/>
      <c r="AE188" s="6"/>
      <c r="AF188" s="6"/>
      <c r="AG188" s="6"/>
      <c r="AH188" s="6"/>
      <c r="AI188" s="6"/>
      <c r="AJ188" s="6"/>
      <c r="AK188" s="6"/>
      <c r="AL188" s="6"/>
      <c r="AM188" s="6"/>
      <c r="AN188" s="6"/>
      <c r="AO188" s="6"/>
      <c r="AP188" s="6"/>
      <c r="AQ188" s="6"/>
      <c r="AR188" s="6"/>
      <c r="AS188" s="6"/>
      <c r="AT188" s="6"/>
      <c r="AU188" s="6"/>
      <c r="AV188" s="6"/>
      <c r="AW188" s="6"/>
    </row>
    <row r="189" spans="21:49" ht="14.25" customHeight="1">
      <c r="U189" s="285"/>
      <c r="V189" s="283"/>
      <c r="AB189" s="6"/>
      <c r="AC189" s="6"/>
      <c r="AD189" s="6"/>
      <c r="AE189" s="6"/>
      <c r="AF189" s="6"/>
      <c r="AG189" s="6"/>
      <c r="AH189" s="6"/>
      <c r="AI189" s="6"/>
      <c r="AJ189" s="6"/>
      <c r="AK189" s="6"/>
      <c r="AL189" s="6"/>
      <c r="AM189" s="6"/>
      <c r="AN189" s="6"/>
      <c r="AO189" s="6"/>
      <c r="AP189" s="6"/>
      <c r="AQ189" s="6"/>
      <c r="AR189" s="6"/>
      <c r="AS189" s="6"/>
      <c r="AT189" s="6"/>
      <c r="AU189" s="6"/>
      <c r="AV189" s="6"/>
      <c r="AW189" s="6"/>
    </row>
    <row r="190" spans="21:49" ht="14.25" customHeight="1">
      <c r="U190" s="285"/>
      <c r="V190" s="283"/>
      <c r="AB190" s="6"/>
      <c r="AC190" s="6"/>
      <c r="AD190" s="6"/>
      <c r="AE190" s="6"/>
      <c r="AF190" s="6"/>
      <c r="AG190" s="6"/>
      <c r="AH190" s="6"/>
      <c r="AI190" s="6"/>
      <c r="AJ190" s="6"/>
      <c r="AK190" s="6"/>
      <c r="AL190" s="6"/>
      <c r="AM190" s="6"/>
      <c r="AN190" s="6"/>
      <c r="AO190" s="6"/>
      <c r="AP190" s="6"/>
      <c r="AQ190" s="6"/>
      <c r="AR190" s="6"/>
      <c r="AS190" s="6"/>
      <c r="AT190" s="6"/>
      <c r="AU190" s="6"/>
      <c r="AV190" s="6"/>
      <c r="AW190" s="6"/>
    </row>
    <row r="191" spans="21:49" ht="14.25" customHeight="1">
      <c r="U191" s="285"/>
      <c r="V191" s="283"/>
      <c r="AB191" s="6"/>
      <c r="AC191" s="6"/>
      <c r="AD191" s="6"/>
      <c r="AE191" s="6"/>
      <c r="AF191" s="6"/>
      <c r="AG191" s="6"/>
      <c r="AH191" s="6"/>
      <c r="AI191" s="6"/>
      <c r="AJ191" s="6"/>
      <c r="AK191" s="6"/>
      <c r="AL191" s="6"/>
      <c r="AM191" s="6"/>
      <c r="AN191" s="6"/>
      <c r="AO191" s="6"/>
      <c r="AP191" s="6"/>
      <c r="AQ191" s="6"/>
      <c r="AR191" s="6"/>
      <c r="AS191" s="6"/>
      <c r="AT191" s="6"/>
      <c r="AU191" s="6"/>
      <c r="AV191" s="6"/>
      <c r="AW191" s="6"/>
    </row>
    <row r="192" spans="21:49" ht="14.25" customHeight="1">
      <c r="U192" s="285"/>
      <c r="V192" s="283"/>
      <c r="AB192" s="6"/>
      <c r="AC192" s="6"/>
      <c r="AD192" s="6"/>
      <c r="AE192" s="6"/>
      <c r="AF192" s="6"/>
      <c r="AG192" s="6"/>
      <c r="AH192" s="6"/>
      <c r="AI192" s="6"/>
      <c r="AJ192" s="6"/>
      <c r="AK192" s="6"/>
      <c r="AL192" s="6"/>
      <c r="AM192" s="6"/>
      <c r="AN192" s="6"/>
      <c r="AO192" s="6"/>
      <c r="AP192" s="6"/>
      <c r="AQ192" s="6"/>
      <c r="AR192" s="6"/>
      <c r="AS192" s="6"/>
      <c r="AT192" s="6"/>
      <c r="AU192" s="6"/>
      <c r="AV192" s="6"/>
      <c r="AW192" s="6"/>
    </row>
    <row r="193" spans="21:49" ht="14.25" customHeight="1">
      <c r="U193" s="285"/>
      <c r="V193" s="283"/>
      <c r="AB193" s="6"/>
      <c r="AC193" s="6"/>
      <c r="AD193" s="6"/>
      <c r="AE193" s="6"/>
      <c r="AF193" s="6"/>
      <c r="AG193" s="6"/>
      <c r="AH193" s="6"/>
      <c r="AI193" s="6"/>
      <c r="AJ193" s="6"/>
      <c r="AK193" s="6"/>
      <c r="AL193" s="6"/>
      <c r="AM193" s="6"/>
      <c r="AN193" s="6"/>
      <c r="AO193" s="6"/>
      <c r="AP193" s="6"/>
      <c r="AQ193" s="6"/>
      <c r="AR193" s="6"/>
      <c r="AS193" s="6"/>
      <c r="AT193" s="6"/>
      <c r="AU193" s="6"/>
      <c r="AV193" s="6"/>
      <c r="AW193" s="6"/>
    </row>
    <row r="194" spans="22:49" ht="14.25" customHeight="1">
      <c r="V194" s="283"/>
      <c r="AB194" s="6"/>
      <c r="AC194" s="6"/>
      <c r="AD194" s="6"/>
      <c r="AE194" s="6"/>
      <c r="AF194" s="6"/>
      <c r="AG194" s="6"/>
      <c r="AH194" s="6"/>
      <c r="AI194" s="6"/>
      <c r="AJ194" s="6"/>
      <c r="AK194" s="6"/>
      <c r="AL194" s="6"/>
      <c r="AM194" s="6"/>
      <c r="AN194" s="6"/>
      <c r="AO194" s="6"/>
      <c r="AP194" s="6"/>
      <c r="AQ194" s="6"/>
      <c r="AR194" s="6"/>
      <c r="AS194" s="6"/>
      <c r="AT194" s="6"/>
      <c r="AU194" s="6"/>
      <c r="AV194" s="6"/>
      <c r="AW194" s="6"/>
    </row>
    <row r="195" spans="18:49" ht="14.25" customHeight="1">
      <c r="R195" s="50"/>
      <c r="U195" s="285"/>
      <c r="AB195" s="6"/>
      <c r="AC195" s="6"/>
      <c r="AD195" s="6"/>
      <c r="AE195" s="6"/>
      <c r="AF195" s="6"/>
      <c r="AG195" s="6"/>
      <c r="AH195" s="6"/>
      <c r="AI195" s="6"/>
      <c r="AJ195" s="6"/>
      <c r="AK195" s="6"/>
      <c r="AL195" s="6"/>
      <c r="AM195" s="6"/>
      <c r="AN195" s="6"/>
      <c r="AO195" s="6"/>
      <c r="AP195" s="6"/>
      <c r="AQ195" s="6"/>
      <c r="AR195" s="6"/>
      <c r="AS195" s="6"/>
      <c r="AT195" s="6"/>
      <c r="AU195" s="6"/>
      <c r="AV195" s="6"/>
      <c r="AW195" s="6"/>
    </row>
    <row r="196" spans="18:22" ht="14.25" customHeight="1">
      <c r="R196" s="280"/>
      <c r="U196" s="285"/>
      <c r="V196" s="283"/>
    </row>
    <row r="197" spans="21:22" ht="14.25" customHeight="1">
      <c r="U197" s="285"/>
      <c r="V197" s="283"/>
    </row>
    <row r="198" spans="21:22" ht="14.25" customHeight="1">
      <c r="U198" s="285"/>
      <c r="V198" s="283"/>
    </row>
    <row r="199" spans="21:22" ht="14.25" customHeight="1">
      <c r="U199" s="285"/>
      <c r="V199" s="283"/>
    </row>
    <row r="200" spans="21:22" ht="14.25" customHeight="1">
      <c r="U200" s="285"/>
      <c r="V200" s="283"/>
    </row>
    <row r="201" spans="21:22" ht="14.25" customHeight="1">
      <c r="U201" s="285"/>
      <c r="V201" s="283"/>
    </row>
    <row r="202" spans="21:22" ht="14.25" customHeight="1">
      <c r="U202" s="285"/>
      <c r="V202" s="283"/>
    </row>
    <row r="205" spans="18:21" ht="14.25" customHeight="1">
      <c r="R205" s="50"/>
      <c r="U205" s="285"/>
    </row>
    <row r="206" spans="21:22" ht="14.25" customHeight="1">
      <c r="U206" s="285"/>
      <c r="V206" s="280"/>
    </row>
    <row r="207" spans="21:22" ht="14.25" customHeight="1">
      <c r="U207" s="285"/>
      <c r="V207" s="280"/>
    </row>
    <row r="208" spans="21:22" ht="14.25" customHeight="1">
      <c r="U208" s="285"/>
      <c r="V208" s="280"/>
    </row>
    <row r="209" spans="21:22" ht="14.25" customHeight="1">
      <c r="U209" s="285"/>
      <c r="V209" s="280"/>
    </row>
    <row r="210" spans="21:22" ht="14.25" customHeight="1">
      <c r="U210" s="285"/>
      <c r="V210" s="280"/>
    </row>
    <row r="211" spans="21:22" ht="14.25" customHeight="1">
      <c r="U211" s="285"/>
      <c r="V211" s="280"/>
    </row>
    <row r="212" spans="18:22" ht="14.25" customHeight="1">
      <c r="R212" s="280"/>
      <c r="U212" s="285"/>
      <c r="V212" s="280"/>
    </row>
    <row r="214" ht="14.25" customHeight="1">
      <c r="R214" s="280"/>
    </row>
    <row r="215" spans="18:21" ht="14.25" customHeight="1">
      <c r="R215" s="50"/>
      <c r="U215" s="285"/>
    </row>
    <row r="216" spans="21:22" ht="14.25" customHeight="1">
      <c r="U216" s="285"/>
      <c r="V216" s="280"/>
    </row>
    <row r="217" spans="21:22" ht="14.25" customHeight="1">
      <c r="U217" s="285"/>
      <c r="V217" s="280"/>
    </row>
    <row r="218" spans="21:22" ht="14.25" customHeight="1">
      <c r="U218" s="285"/>
      <c r="V218" s="280"/>
    </row>
    <row r="219" spans="21:22" ht="14.25" customHeight="1">
      <c r="U219" s="285"/>
      <c r="V219" s="280"/>
    </row>
    <row r="220" spans="21:22" ht="14.25" customHeight="1">
      <c r="U220" s="285"/>
      <c r="V220" s="280"/>
    </row>
    <row r="221" spans="21:22" ht="14.25" customHeight="1">
      <c r="U221" s="285"/>
      <c r="V221" s="280"/>
    </row>
    <row r="222" spans="21:22" ht="14.25" customHeight="1">
      <c r="U222" s="285"/>
      <c r="V222" s="280"/>
    </row>
    <row r="223" ht="14.25" customHeight="1">
      <c r="U223" s="280"/>
    </row>
    <row r="224" spans="18:21" ht="14.25" customHeight="1">
      <c r="R224" s="50"/>
      <c r="U224" s="285"/>
    </row>
    <row r="225" spans="21:22" ht="14.25" customHeight="1">
      <c r="U225" s="285"/>
      <c r="V225" s="280"/>
    </row>
    <row r="226" spans="21:22" ht="14.25" customHeight="1">
      <c r="U226" s="285"/>
      <c r="V226" s="280"/>
    </row>
    <row r="227" spans="21:22" ht="14.25" customHeight="1">
      <c r="U227" s="285"/>
      <c r="V227" s="280"/>
    </row>
    <row r="228" spans="21:22" ht="14.25" customHeight="1">
      <c r="U228" s="285"/>
      <c r="V228" s="280"/>
    </row>
    <row r="229" spans="21:22" ht="14.25" customHeight="1">
      <c r="U229" s="285"/>
      <c r="V229" s="280"/>
    </row>
    <row r="230" spans="21:22" ht="14.25" customHeight="1">
      <c r="U230" s="285"/>
      <c r="V230" s="280"/>
    </row>
    <row r="231" spans="21:22" ht="14.25" customHeight="1">
      <c r="U231" s="285"/>
      <c r="V231" s="280"/>
    </row>
    <row r="233" spans="18:21" ht="14.25" customHeight="1">
      <c r="R233" s="50"/>
      <c r="U233" s="285"/>
    </row>
    <row r="234" spans="21:22" ht="14.25" customHeight="1">
      <c r="U234" s="285"/>
      <c r="V234" s="280"/>
    </row>
    <row r="235" spans="21:22" ht="14.25" customHeight="1">
      <c r="U235" s="285"/>
      <c r="V235" s="280"/>
    </row>
    <row r="236" spans="21:22" ht="14.25" customHeight="1">
      <c r="U236" s="285"/>
      <c r="V236" s="280"/>
    </row>
    <row r="237" spans="21:22" ht="14.25" customHeight="1">
      <c r="U237" s="285"/>
      <c r="V237" s="280"/>
    </row>
    <row r="238" spans="21:22" ht="14.25" customHeight="1">
      <c r="U238" s="285"/>
      <c r="V238" s="280"/>
    </row>
    <row r="239" spans="21:22" ht="14.25" customHeight="1">
      <c r="U239" s="285"/>
      <c r="V239" s="280"/>
    </row>
    <row r="240" spans="21:22" ht="14.25" customHeight="1">
      <c r="U240" s="285"/>
      <c r="V240" s="280"/>
    </row>
    <row r="241" spans="21:22" ht="14.25" customHeight="1">
      <c r="U241" s="285"/>
      <c r="V241" s="280"/>
    </row>
    <row r="242" spans="21:22" ht="14.25" customHeight="1">
      <c r="U242" s="285"/>
      <c r="V242" s="280"/>
    </row>
    <row r="243" spans="21:22" ht="14.25" customHeight="1">
      <c r="U243" s="280"/>
      <c r="V243" s="283"/>
    </row>
    <row r="244" spans="21:22" ht="14.25" customHeight="1">
      <c r="U244" s="280"/>
      <c r="V244" s="283"/>
    </row>
    <row r="245" spans="18:22" ht="14.25" customHeight="1">
      <c r="R245" s="50"/>
      <c r="U245" s="280"/>
      <c r="V245" s="283"/>
    </row>
    <row r="246" spans="21:22" ht="14.25" customHeight="1">
      <c r="U246" s="280"/>
      <c r="V246" s="283"/>
    </row>
    <row r="247" spans="21:22" ht="14.25" customHeight="1">
      <c r="U247" s="280"/>
      <c r="V247" s="283"/>
    </row>
    <row r="248" spans="21:22" ht="14.25" customHeight="1">
      <c r="U248" s="280"/>
      <c r="V248" s="283"/>
    </row>
    <row r="249" spans="21:22" ht="14.25" customHeight="1">
      <c r="U249" s="280"/>
      <c r="V249" s="283"/>
    </row>
    <row r="250" spans="21:22" ht="14.25" customHeight="1">
      <c r="U250" s="280"/>
      <c r="V250" s="283"/>
    </row>
    <row r="251" spans="21:22" ht="14.25" customHeight="1">
      <c r="U251" s="285"/>
      <c r="V251" s="280"/>
    </row>
    <row r="252" spans="21:22" ht="14.25" customHeight="1">
      <c r="U252" s="285"/>
      <c r="V252" s="280"/>
    </row>
    <row r="253" spans="21:22" ht="14.25" customHeight="1">
      <c r="U253" s="280"/>
      <c r="V253" s="283"/>
    </row>
    <row r="254" spans="21:22" ht="14.25" customHeight="1">
      <c r="U254" s="280"/>
      <c r="V254" s="283"/>
    </row>
    <row r="255" spans="18:22" ht="14.25" customHeight="1">
      <c r="R255" s="50"/>
      <c r="U255" s="280"/>
      <c r="V255" s="283"/>
    </row>
    <row r="256" spans="21:22" ht="14.25" customHeight="1">
      <c r="U256" s="280"/>
      <c r="V256" s="283"/>
    </row>
    <row r="257" spans="21:22" ht="14.25" customHeight="1">
      <c r="U257" s="280"/>
      <c r="V257" s="283"/>
    </row>
    <row r="258" spans="21:22" ht="14.25" customHeight="1">
      <c r="U258" s="280"/>
      <c r="V258" s="283"/>
    </row>
    <row r="259" spans="21:22" ht="14.25" customHeight="1">
      <c r="U259" s="280"/>
      <c r="V259" s="283"/>
    </row>
    <row r="260" spans="21:22" ht="14.25" customHeight="1">
      <c r="U260" s="280"/>
      <c r="V260" s="283"/>
    </row>
    <row r="261" spans="21:22" ht="14.25" customHeight="1">
      <c r="U261" s="285"/>
      <c r="V261" s="280"/>
    </row>
    <row r="262" spans="21:22" ht="14.25" customHeight="1">
      <c r="U262" s="285"/>
      <c r="V262" s="280"/>
    </row>
    <row r="265" spans="18:21" ht="14.25" customHeight="1">
      <c r="R265" s="50"/>
      <c r="U265" s="285"/>
    </row>
    <row r="266" spans="18:22" ht="14.25" customHeight="1">
      <c r="R266" s="50"/>
      <c r="U266" s="285"/>
      <c r="V266" s="280"/>
    </row>
    <row r="267" spans="18:22" ht="14.25" customHeight="1">
      <c r="R267" s="50"/>
      <c r="U267" s="285"/>
      <c r="V267" s="280"/>
    </row>
    <row r="268" spans="18:22" ht="14.25" customHeight="1">
      <c r="R268" s="50"/>
      <c r="U268" s="285"/>
      <c r="V268" s="280"/>
    </row>
    <row r="269" spans="18:22" ht="14.25" customHeight="1">
      <c r="R269" s="50"/>
      <c r="U269" s="285"/>
      <c r="V269" s="280"/>
    </row>
    <row r="270" spans="18:22" ht="14.25" customHeight="1">
      <c r="R270" s="50"/>
      <c r="U270" s="285"/>
      <c r="V270" s="280"/>
    </row>
    <row r="271" spans="18:22" ht="14.25" customHeight="1">
      <c r="R271" s="50"/>
      <c r="U271" s="285"/>
      <c r="V271" s="280"/>
    </row>
    <row r="272" spans="18:22" ht="14.25" customHeight="1">
      <c r="R272" s="50"/>
      <c r="U272" s="285"/>
      <c r="V272" s="280"/>
    </row>
    <row r="273" ht="14.25" customHeight="1">
      <c r="R273" s="50"/>
    </row>
    <row r="274" ht="14.25" customHeight="1">
      <c r="R274" s="50"/>
    </row>
    <row r="275" spans="18:21" ht="14.25" customHeight="1">
      <c r="R275" s="50"/>
      <c r="U275" s="285"/>
    </row>
    <row r="276" spans="18:22" ht="14.25" customHeight="1">
      <c r="R276" s="50"/>
      <c r="U276" s="285"/>
      <c r="V276" s="280"/>
    </row>
    <row r="277" spans="18:22" ht="14.25" customHeight="1">
      <c r="R277" s="50"/>
      <c r="U277" s="285"/>
      <c r="V277" s="280"/>
    </row>
    <row r="278" spans="18:22" ht="14.25" customHeight="1">
      <c r="R278" s="50"/>
      <c r="U278" s="285"/>
      <c r="V278" s="280"/>
    </row>
    <row r="279" spans="18:22" ht="14.25" customHeight="1">
      <c r="R279" s="50"/>
      <c r="U279" s="285"/>
      <c r="V279" s="280"/>
    </row>
    <row r="280" spans="18:22" ht="14.25" customHeight="1">
      <c r="R280" s="50"/>
      <c r="U280" s="285"/>
      <c r="V280" s="280"/>
    </row>
    <row r="281" spans="18:22" ht="14.25" customHeight="1">
      <c r="R281" s="50"/>
      <c r="U281" s="285"/>
      <c r="V281" s="280"/>
    </row>
    <row r="282" spans="18:22" ht="14.25" customHeight="1">
      <c r="R282" s="50"/>
      <c r="U282" s="285"/>
      <c r="V282" s="280"/>
    </row>
    <row r="283" ht="14.25" customHeight="1">
      <c r="R283" s="50"/>
    </row>
    <row r="284" ht="14.25" customHeight="1">
      <c r="R284" s="50"/>
    </row>
    <row r="285" spans="18:21" ht="14.25" customHeight="1">
      <c r="R285" s="50"/>
      <c r="U285" s="285"/>
    </row>
    <row r="286" spans="18:22" ht="14.25" customHeight="1">
      <c r="R286" s="50"/>
      <c r="U286" s="285"/>
      <c r="V286" s="280"/>
    </row>
    <row r="287" spans="18:22" ht="14.25" customHeight="1">
      <c r="R287" s="50"/>
      <c r="U287" s="285"/>
      <c r="V287" s="280"/>
    </row>
    <row r="288" spans="18:22" ht="14.25" customHeight="1">
      <c r="R288" s="50"/>
      <c r="U288" s="285"/>
      <c r="V288" s="280"/>
    </row>
    <row r="289" spans="18:22" ht="14.25" customHeight="1">
      <c r="R289" s="50"/>
      <c r="U289" s="285"/>
      <c r="V289" s="280"/>
    </row>
    <row r="290" spans="18:22" ht="14.25" customHeight="1">
      <c r="R290" s="50"/>
      <c r="U290" s="285"/>
      <c r="V290" s="280"/>
    </row>
    <row r="291" spans="18:22" ht="14.25" customHeight="1">
      <c r="R291" s="50"/>
      <c r="U291" s="285"/>
      <c r="V291" s="280"/>
    </row>
    <row r="292" spans="18:22" ht="14.25" customHeight="1">
      <c r="R292" s="50"/>
      <c r="U292" s="285"/>
      <c r="V292" s="280"/>
    </row>
    <row r="293" ht="14.25" customHeight="1">
      <c r="R293" s="50"/>
    </row>
    <row r="294" ht="14.25" customHeight="1">
      <c r="R294" s="50"/>
    </row>
    <row r="295" spans="18:21" ht="14.25" customHeight="1">
      <c r="R295" s="50"/>
      <c r="U295" s="285"/>
    </row>
    <row r="296" spans="21:22" ht="14.25" customHeight="1">
      <c r="U296" s="285"/>
      <c r="V296" s="280"/>
    </row>
    <row r="297" spans="21:22" ht="14.25" customHeight="1">
      <c r="U297" s="285"/>
      <c r="V297" s="280"/>
    </row>
    <row r="298" spans="21:22" ht="14.25" customHeight="1">
      <c r="U298" s="285"/>
      <c r="V298" s="280"/>
    </row>
    <row r="299" spans="21:22" ht="14.25" customHeight="1">
      <c r="U299" s="285"/>
      <c r="V299" s="280"/>
    </row>
    <row r="300" spans="21:22" ht="14.25" customHeight="1">
      <c r="U300" s="285"/>
      <c r="V300" s="280"/>
    </row>
    <row r="301" spans="21:22" ht="14.25" customHeight="1">
      <c r="U301" s="285"/>
      <c r="V301" s="280"/>
    </row>
    <row r="302" spans="21:22" ht="14.25" customHeight="1">
      <c r="U302" s="285"/>
      <c r="V302" s="280"/>
    </row>
    <row r="305" spans="18:21" ht="14.25" customHeight="1">
      <c r="R305" s="50"/>
      <c r="U305" s="285"/>
    </row>
    <row r="306" spans="21:22" ht="14.25" customHeight="1">
      <c r="U306" s="285"/>
      <c r="V306" s="280"/>
    </row>
    <row r="307" spans="21:22" ht="14.25" customHeight="1">
      <c r="U307" s="285"/>
      <c r="V307" s="280"/>
    </row>
    <row r="308" spans="21:22" ht="14.25" customHeight="1">
      <c r="U308" s="285"/>
      <c r="V308" s="280"/>
    </row>
    <row r="309" spans="21:22" ht="14.25" customHeight="1">
      <c r="U309" s="285"/>
      <c r="V309" s="280"/>
    </row>
    <row r="310" spans="21:22" ht="14.25" customHeight="1">
      <c r="U310" s="285"/>
      <c r="V310" s="280"/>
    </row>
    <row r="311" spans="21:22" ht="14.25" customHeight="1">
      <c r="U311" s="285"/>
      <c r="V311" s="280"/>
    </row>
    <row r="312" spans="21:22" ht="14.25" customHeight="1">
      <c r="U312" s="285"/>
      <c r="V312" s="280"/>
    </row>
    <row r="314" spans="18:21" ht="14.25" customHeight="1">
      <c r="R314" s="50"/>
      <c r="U314" s="285"/>
    </row>
    <row r="315" spans="21:22" ht="14.25" customHeight="1">
      <c r="U315" s="285"/>
      <c r="V315" s="280"/>
    </row>
    <row r="316" spans="21:22" ht="14.25" customHeight="1">
      <c r="U316" s="285"/>
      <c r="V316" s="280"/>
    </row>
    <row r="317" spans="21:22" ht="14.25" customHeight="1">
      <c r="U317" s="285"/>
      <c r="V317" s="280"/>
    </row>
    <row r="318" spans="21:22" ht="14.25" customHeight="1">
      <c r="U318" s="285"/>
      <c r="V318" s="280"/>
    </row>
    <row r="319" spans="21:22" ht="14.25" customHeight="1">
      <c r="U319" s="285"/>
      <c r="V319" s="280"/>
    </row>
    <row r="320" spans="21:22" ht="14.25" customHeight="1">
      <c r="U320" s="285"/>
      <c r="V320" s="280"/>
    </row>
    <row r="321" spans="21:22" ht="14.25" customHeight="1">
      <c r="U321" s="285"/>
      <c r="V321" s="280"/>
    </row>
    <row r="324" spans="18:21" ht="14.25" customHeight="1">
      <c r="R324" s="50"/>
      <c r="U324" s="285"/>
    </row>
    <row r="325" spans="21:22" ht="14.25" customHeight="1">
      <c r="U325" s="285"/>
      <c r="V325" s="280"/>
    </row>
    <row r="326" spans="21:22" ht="14.25" customHeight="1">
      <c r="U326" s="285"/>
      <c r="V326" s="280"/>
    </row>
    <row r="327" spans="21:22" ht="14.25" customHeight="1">
      <c r="U327" s="285"/>
      <c r="V327" s="280"/>
    </row>
    <row r="328" spans="21:22" ht="14.25" customHeight="1">
      <c r="U328" s="285"/>
      <c r="V328" s="280"/>
    </row>
    <row r="329" spans="21:22" ht="14.25" customHeight="1">
      <c r="U329" s="285"/>
      <c r="V329" s="280"/>
    </row>
    <row r="330" spans="21:22" ht="14.25" customHeight="1">
      <c r="U330" s="285"/>
      <c r="V330" s="280"/>
    </row>
    <row r="331" spans="21:22" ht="14.25" customHeight="1">
      <c r="U331" s="285"/>
      <c r="V331" s="280"/>
    </row>
    <row r="334" ht="14.25" customHeight="1">
      <c r="U334" s="285"/>
    </row>
    <row r="335" spans="21:22" ht="14.25" customHeight="1">
      <c r="U335" s="285"/>
      <c r="V335" s="280"/>
    </row>
    <row r="336" spans="21:22" ht="14.25" customHeight="1">
      <c r="U336" s="285"/>
      <c r="V336" s="280"/>
    </row>
    <row r="337" spans="21:22" ht="14.25" customHeight="1">
      <c r="U337" s="285"/>
      <c r="V337" s="280"/>
    </row>
    <row r="338" spans="21:22" ht="14.25" customHeight="1">
      <c r="U338" s="285"/>
      <c r="V338" s="280"/>
    </row>
    <row r="339" spans="21:22" ht="14.25" customHeight="1">
      <c r="U339" s="285"/>
      <c r="V339" s="280"/>
    </row>
    <row r="340" spans="21:22" ht="14.25" customHeight="1">
      <c r="U340" s="285"/>
      <c r="V340" s="280"/>
    </row>
    <row r="341" spans="21:22" ht="14.25" customHeight="1">
      <c r="U341" s="285"/>
      <c r="V341" s="280"/>
    </row>
    <row r="343" ht="14.25" customHeight="1">
      <c r="U343" s="286"/>
    </row>
    <row r="344" spans="19:20" ht="14.25" customHeight="1">
      <c r="S344" s="285"/>
      <c r="T344" s="286"/>
    </row>
    <row r="345" spans="19:20" ht="14.25" customHeight="1">
      <c r="S345" s="285"/>
      <c r="T345" s="286"/>
    </row>
    <row r="346" spans="19:20" ht="14.25" customHeight="1">
      <c r="S346" s="285"/>
      <c r="T346" s="286"/>
    </row>
    <row r="347" spans="19:20" ht="14.25" customHeight="1">
      <c r="S347" s="285"/>
      <c r="T347" s="286"/>
    </row>
    <row r="348" spans="19:20" ht="14.25" customHeight="1">
      <c r="S348" s="285"/>
      <c r="T348" s="286"/>
    </row>
    <row r="349" spans="19:20" ht="14.25" customHeight="1">
      <c r="S349" s="285"/>
      <c r="T349" s="286"/>
    </row>
    <row r="350" ht="14.25" customHeight="1">
      <c r="S350" s="285"/>
    </row>
    <row r="352" ht="14.25" customHeight="1">
      <c r="U352" s="280"/>
    </row>
    <row r="354" ht="14.25" customHeight="1">
      <c r="U354" s="286"/>
    </row>
    <row r="355" ht="14.25" customHeight="1">
      <c r="U355" s="286"/>
    </row>
    <row r="356" ht="14.25" customHeight="1">
      <c r="U356" s="286"/>
    </row>
    <row r="357" spans="21:22" ht="14.25" customHeight="1">
      <c r="U357" s="286"/>
      <c r="V357" s="287"/>
    </row>
    <row r="358" spans="21:22" ht="14.25" customHeight="1">
      <c r="U358" s="286"/>
      <c r="V358" s="287"/>
    </row>
    <row r="359" spans="21:22" ht="14.25" customHeight="1">
      <c r="U359" s="286"/>
      <c r="V359" s="287"/>
    </row>
    <row r="360" spans="21:22" ht="14.25" customHeight="1">
      <c r="U360" s="286"/>
      <c r="V360" s="287"/>
    </row>
    <row r="361" spans="21:22" ht="14.25" customHeight="1">
      <c r="U361" s="286"/>
      <c r="V361" s="287"/>
    </row>
    <row r="362" spans="21:22" ht="14.25" customHeight="1">
      <c r="U362" s="286"/>
      <c r="V362" s="287"/>
    </row>
    <row r="363" spans="21:22" ht="14.25" customHeight="1">
      <c r="U363" s="286"/>
      <c r="V363" s="287"/>
    </row>
    <row r="365" ht="14.25" customHeight="1">
      <c r="X365" s="286"/>
    </row>
    <row r="366" ht="14.25" customHeight="1">
      <c r="X366" s="286"/>
    </row>
    <row r="367" ht="14.25" customHeight="1">
      <c r="X367" s="286"/>
    </row>
    <row r="368" ht="14.25" customHeight="1">
      <c r="X368" s="286"/>
    </row>
    <row r="369" ht="14.25" customHeight="1">
      <c r="X369" s="286"/>
    </row>
    <row r="370" ht="14.25" customHeight="1">
      <c r="X370" s="286"/>
    </row>
    <row r="371" ht="14.25" customHeight="1">
      <c r="X371" s="286"/>
    </row>
    <row r="372" ht="14.25" customHeight="1">
      <c r="X372" s="286"/>
    </row>
    <row r="373" ht="14.25" customHeight="1">
      <c r="X373" s="286"/>
    </row>
    <row r="374" ht="14.25" customHeight="1">
      <c r="X374" s="286"/>
    </row>
    <row r="375" ht="14.25" customHeight="1">
      <c r="X375" s="286"/>
    </row>
    <row r="376" ht="14.25" customHeight="1">
      <c r="X376" s="286"/>
    </row>
    <row r="377" ht="14.25" customHeight="1" thickBot="1"/>
    <row r="378" spans="19:20" ht="14.25" customHeight="1" thickBot="1">
      <c r="S378" s="288"/>
      <c r="T378" s="289"/>
    </row>
    <row r="379" spans="20:25" ht="14.25" customHeight="1">
      <c r="T379" s="289"/>
      <c r="V379" s="280"/>
      <c r="X379" s="285"/>
      <c r="Y379" s="278"/>
    </row>
    <row r="380" spans="20:25" ht="14.25" customHeight="1">
      <c r="T380" s="289"/>
      <c r="V380" s="280"/>
      <c r="X380" s="285"/>
      <c r="Y380" s="278"/>
    </row>
    <row r="381" spans="20:25" ht="14.25" customHeight="1">
      <c r="T381" s="289"/>
      <c r="V381" s="280"/>
      <c r="X381" s="285"/>
      <c r="Y381" s="278"/>
    </row>
    <row r="382" spans="20:25" ht="14.25" customHeight="1">
      <c r="T382" s="289"/>
      <c r="V382" s="280"/>
      <c r="X382" s="285"/>
      <c r="Y382" s="278"/>
    </row>
    <row r="383" spans="20:25" ht="14.25" customHeight="1">
      <c r="T383" s="289"/>
      <c r="V383" s="280"/>
      <c r="X383" s="285"/>
      <c r="Y383" s="278"/>
    </row>
    <row r="384" spans="20:25" ht="14.25" customHeight="1">
      <c r="T384" s="289"/>
      <c r="V384" s="280"/>
      <c r="X384" s="285"/>
      <c r="Y384" s="278"/>
    </row>
    <row r="385" ht="14.25" customHeight="1">
      <c r="T385" s="289"/>
    </row>
    <row r="386" spans="24:25" ht="14.25" customHeight="1">
      <c r="X386" s="278"/>
      <c r="Y386" s="278"/>
    </row>
    <row r="387" spans="24:25" ht="14.25" customHeight="1">
      <c r="X387" s="278"/>
      <c r="Y387" s="278"/>
    </row>
    <row r="388" spans="24:25" ht="14.25" customHeight="1">
      <c r="X388" s="278"/>
      <c r="Y388" s="278"/>
    </row>
    <row r="389" spans="20:25" ht="14.25" customHeight="1">
      <c r="T389" s="289"/>
      <c r="U389" s="280"/>
      <c r="X389" s="278"/>
      <c r="Y389" s="278"/>
    </row>
    <row r="390" spans="20:25" ht="14.25" customHeight="1">
      <c r="T390" s="289"/>
      <c r="U390" s="280"/>
      <c r="X390" s="278"/>
      <c r="Y390" s="278"/>
    </row>
    <row r="391" spans="20:25" ht="14.25" customHeight="1">
      <c r="T391" s="289"/>
      <c r="U391" s="280"/>
      <c r="X391" s="278"/>
      <c r="Y391" s="278"/>
    </row>
    <row r="392" spans="20:21" ht="14.25" customHeight="1">
      <c r="T392" s="289"/>
      <c r="U392" s="280"/>
    </row>
    <row r="393" spans="20:21" ht="14.25" customHeight="1">
      <c r="T393" s="289"/>
      <c r="U393" s="280"/>
    </row>
    <row r="394" spans="20:23" ht="14.25" customHeight="1">
      <c r="T394" s="289"/>
      <c r="U394" s="280"/>
      <c r="W394" s="239"/>
    </row>
    <row r="395" ht="14.25" customHeight="1">
      <c r="T395" s="289"/>
    </row>
    <row r="401" ht="14.25" customHeight="1">
      <c r="V401" s="239"/>
    </row>
    <row r="403" ht="14.25" customHeight="1" thickBot="1"/>
    <row r="404" ht="14.25" customHeight="1" thickBot="1">
      <c r="V404" s="290"/>
    </row>
  </sheetData>
  <sheetProtection formatRows="0"/>
  <autoFilter ref="A15:AA127"/>
  <mergeCells count="173">
    <mergeCell ref="A1:D8"/>
    <mergeCell ref="E1:N8"/>
    <mergeCell ref="O1:R8"/>
    <mergeCell ref="S1:U8"/>
    <mergeCell ref="W1:Y8"/>
    <mergeCell ref="Z1:AJ8"/>
    <mergeCell ref="AK1:AN8"/>
    <mergeCell ref="AO1:AQ8"/>
    <mergeCell ref="G14:G15"/>
    <mergeCell ref="H14:H15"/>
    <mergeCell ref="I14:I15"/>
    <mergeCell ref="J14:L14"/>
    <mergeCell ref="O14:P14"/>
    <mergeCell ref="Q14:R14"/>
    <mergeCell ref="S14:T14"/>
    <mergeCell ref="U14:V14"/>
    <mergeCell ref="W14:W15"/>
    <mergeCell ref="X14:X15"/>
    <mergeCell ref="Y14:Y15"/>
    <mergeCell ref="Z14:Z15"/>
    <mergeCell ref="AA14:AA15"/>
    <mergeCell ref="AB14:AB15"/>
    <mergeCell ref="AC14:AD14"/>
    <mergeCell ref="AE14:AF14"/>
    <mergeCell ref="AG14:AH14"/>
    <mergeCell ref="AI14:AJ14"/>
    <mergeCell ref="AK14:AL14"/>
    <mergeCell ref="AM14:AN14"/>
    <mergeCell ref="AO14:AP14"/>
    <mergeCell ref="AQ14:AR14"/>
    <mergeCell ref="AW14:AX14"/>
    <mergeCell ref="AY14:AZ14"/>
    <mergeCell ref="BA14:BB14"/>
    <mergeCell ref="H16:H31"/>
    <mergeCell ref="I16:I31"/>
    <mergeCell ref="J16:J31"/>
    <mergeCell ref="K16:K31"/>
    <mergeCell ref="L16:L31"/>
    <mergeCell ref="M16:M31"/>
    <mergeCell ref="N16:N31"/>
    <mergeCell ref="O16:O31"/>
    <mergeCell ref="P16:P31"/>
    <mergeCell ref="Q16:Q31"/>
    <mergeCell ref="R16:R31"/>
    <mergeCell ref="S16:S31"/>
    <mergeCell ref="T16:T31"/>
    <mergeCell ref="U16:U31"/>
    <mergeCell ref="V16:V31"/>
    <mergeCell ref="W16:W31"/>
    <mergeCell ref="X16:X31"/>
    <mergeCell ref="Y16:Y31"/>
    <mergeCell ref="Z16:Z31"/>
    <mergeCell ref="AA16:AA31"/>
    <mergeCell ref="H32:H47"/>
    <mergeCell ref="I32:I47"/>
    <mergeCell ref="J32:J47"/>
    <mergeCell ref="K32:K47"/>
    <mergeCell ref="L32:L47"/>
    <mergeCell ref="M32:M47"/>
    <mergeCell ref="N32:N47"/>
    <mergeCell ref="O32:O47"/>
    <mergeCell ref="P32:P47"/>
    <mergeCell ref="Q32:Q47"/>
    <mergeCell ref="R32:R47"/>
    <mergeCell ref="S32:S47"/>
    <mergeCell ref="T32:T47"/>
    <mergeCell ref="U32:U47"/>
    <mergeCell ref="V32:V47"/>
    <mergeCell ref="W32:W47"/>
    <mergeCell ref="X32:X47"/>
    <mergeCell ref="Y32:Y47"/>
    <mergeCell ref="Z32:Z47"/>
    <mergeCell ref="AA32:AA47"/>
    <mergeCell ref="H48:H63"/>
    <mergeCell ref="I48:I63"/>
    <mergeCell ref="J48:J63"/>
    <mergeCell ref="K48:K63"/>
    <mergeCell ref="M48:M63"/>
    <mergeCell ref="N48:N63"/>
    <mergeCell ref="O48:O63"/>
    <mergeCell ref="P48:P63"/>
    <mergeCell ref="Q48:Q63"/>
    <mergeCell ref="AA48:AA63"/>
    <mergeCell ref="H64:H79"/>
    <mergeCell ref="I64:I79"/>
    <mergeCell ref="J64:J79"/>
    <mergeCell ref="K64:K79"/>
    <mergeCell ref="M64:M79"/>
    <mergeCell ref="Q64:Q79"/>
    <mergeCell ref="R48:R63"/>
    <mergeCell ref="S48:S63"/>
    <mergeCell ref="T48:T63"/>
    <mergeCell ref="U64:U79"/>
    <mergeCell ref="V64:V79"/>
    <mergeCell ref="W64:W79"/>
    <mergeCell ref="X48:X63"/>
    <mergeCell ref="Y48:Y63"/>
    <mergeCell ref="Z48:Z63"/>
    <mergeCell ref="U48:U63"/>
    <mergeCell ref="V48:V63"/>
    <mergeCell ref="W48:W63"/>
    <mergeCell ref="X64:X79"/>
    <mergeCell ref="Y64:Y79"/>
    <mergeCell ref="Z64:Z79"/>
    <mergeCell ref="AA64:AA79"/>
    <mergeCell ref="N67:N79"/>
    <mergeCell ref="O67:O79"/>
    <mergeCell ref="P67:P79"/>
    <mergeCell ref="R64:R79"/>
    <mergeCell ref="S64:S79"/>
    <mergeCell ref="T64:T79"/>
    <mergeCell ref="H80:H95"/>
    <mergeCell ref="I80:I95"/>
    <mergeCell ref="J80:J95"/>
    <mergeCell ref="K80:K95"/>
    <mergeCell ref="M80:M95"/>
    <mergeCell ref="N80:N95"/>
    <mergeCell ref="O80:O95"/>
    <mergeCell ref="P80:P95"/>
    <mergeCell ref="Q80:Q95"/>
    <mergeCell ref="R80:R95"/>
    <mergeCell ref="S80:S95"/>
    <mergeCell ref="T80:T95"/>
    <mergeCell ref="U80:U95"/>
    <mergeCell ref="V80:V95"/>
    <mergeCell ref="W80:W95"/>
    <mergeCell ref="X80:X95"/>
    <mergeCell ref="Y80:Y95"/>
    <mergeCell ref="Z80:Z95"/>
    <mergeCell ref="AA80:AA83"/>
    <mergeCell ref="AA84:AA87"/>
    <mergeCell ref="AA88:AA91"/>
    <mergeCell ref="AA92:AA95"/>
    <mergeCell ref="H96:H111"/>
    <mergeCell ref="I96:I111"/>
    <mergeCell ref="J96:J111"/>
    <mergeCell ref="K96:K111"/>
    <mergeCell ref="M96:M111"/>
    <mergeCell ref="N96:N111"/>
    <mergeCell ref="O96:O111"/>
    <mergeCell ref="P96:P111"/>
    <mergeCell ref="Q96:Q111"/>
    <mergeCell ref="R96:R111"/>
    <mergeCell ref="S96:S111"/>
    <mergeCell ref="T96:T111"/>
    <mergeCell ref="U96:U111"/>
    <mergeCell ref="V96:V111"/>
    <mergeCell ref="W96:W111"/>
    <mergeCell ref="X96:X111"/>
    <mergeCell ref="Y96:Y111"/>
    <mergeCell ref="Z96:Z111"/>
    <mergeCell ref="AA96:AA111"/>
    <mergeCell ref="H112:H127"/>
    <mergeCell ref="I112:I127"/>
    <mergeCell ref="J112:J127"/>
    <mergeCell ref="K112:K127"/>
    <mergeCell ref="M112:M127"/>
    <mergeCell ref="N112:N127"/>
    <mergeCell ref="O112:O127"/>
    <mergeCell ref="P112:P127"/>
    <mergeCell ref="Q112:Q127"/>
    <mergeCell ref="R112:R127"/>
    <mergeCell ref="S112:S127"/>
    <mergeCell ref="T112:T127"/>
    <mergeCell ref="U112:U127"/>
    <mergeCell ref="V112:V127"/>
    <mergeCell ref="W112:W127"/>
    <mergeCell ref="X112:X127"/>
    <mergeCell ref="Y112:Y119"/>
    <mergeCell ref="Z112:Z119"/>
    <mergeCell ref="AA112:AA127"/>
    <mergeCell ref="Y120:Y127"/>
    <mergeCell ref="Z120:Z127"/>
  </mergeCells>
  <conditionalFormatting sqref="Q128:T128 AW128:BB128">
    <cfRule type="cellIs" priority="4" dxfId="10" operator="notEqual" stopIfTrue="1">
      <formula>#REF!</formula>
    </cfRule>
  </conditionalFormatting>
  <conditionalFormatting sqref="Q16:V127">
    <cfRule type="cellIs" priority="3" dxfId="11" operator="notEqual" stopIfTrue="1">
      <formula>AW16</formula>
    </cfRule>
  </conditionalFormatting>
  <conditionalFormatting sqref="H16:H127">
    <cfRule type="containsText" priority="1" dxfId="1" operator="containsText" stopIfTrue="1" text="X">
      <formula>NOT(ISERROR(SEARCH("X",H16)))</formula>
    </cfRule>
    <cfRule type="containsText" priority="2" dxfId="0" operator="containsText" stopIfTrue="1" text="X">
      <formula>NOT(ISERROR(SEARCH("X",H16)))</formula>
    </cfRule>
  </conditionalFormatting>
  <dataValidations count="1">
    <dataValidation type="whole" allowBlank="1" showInputMessage="1" showErrorMessage="1" sqref="AC16:AR127">
      <formula1>0</formula1>
      <formula2>99999999999</formula2>
    </dataValidation>
  </dataValidations>
  <printOptions/>
  <pageMargins left="0.7" right="0.7" top="0.75" bottom="0.75" header="0.3" footer="0.3"/>
  <pageSetup horizontalDpi="600" verticalDpi="600" orientation="landscape" scale="80" r:id="rId4"/>
  <drawing r:id="rId3"/>
  <legacyDrawing r:id="rId2"/>
</worksheet>
</file>

<file path=xl/worksheets/sheet2.xml><?xml version="1.0" encoding="utf-8"?>
<worksheet xmlns="http://schemas.openxmlformats.org/spreadsheetml/2006/main" xmlns:r="http://schemas.openxmlformats.org/officeDocument/2006/relationships">
  <sheetPr codeName="Hoja2">
    <tabColor rgb="FFFF0000"/>
  </sheetPr>
  <dimension ref="A1:AY45"/>
  <sheetViews>
    <sheetView showGridLines="0" zoomScalePageLayoutView="0" workbookViewId="0" topLeftCell="C9">
      <selection activeCell="D23" sqref="D23"/>
    </sheetView>
  </sheetViews>
  <sheetFormatPr defaultColWidth="0" defaultRowHeight="15" outlineLevelRow="2"/>
  <cols>
    <col min="1" max="1" width="6.421875" style="5" hidden="1" customWidth="1"/>
    <col min="2" max="2" width="6.28125" style="5" hidden="1" customWidth="1"/>
    <col min="3" max="3" width="6.57421875" style="5" customWidth="1"/>
    <col min="4" max="4" width="9.57421875" style="5" customWidth="1"/>
    <col min="5" max="5" width="4.28125" style="5" customWidth="1"/>
    <col min="6" max="6" width="15.28125" style="5" customWidth="1"/>
    <col min="7" max="7" width="4.28125" style="5" customWidth="1"/>
    <col min="8" max="8" width="3.7109375" style="5" customWidth="1"/>
    <col min="9" max="9" width="3.140625" style="5" customWidth="1"/>
    <col min="10" max="10" width="16.7109375" style="5" customWidth="1"/>
    <col min="11" max="11" width="8.140625" style="5" customWidth="1"/>
    <col min="12" max="12" width="10.00390625" style="209" customWidth="1"/>
    <col min="13" max="13" width="16.421875" style="5" customWidth="1"/>
    <col min="14" max="14" width="15.57421875" style="5" customWidth="1"/>
    <col min="15" max="15" width="19.00390625" style="5" customWidth="1"/>
    <col min="16" max="16" width="16.57421875" style="5" customWidth="1"/>
    <col min="17" max="17" width="16.7109375" style="5" customWidth="1"/>
    <col min="18" max="18" width="15.57421875" style="5" customWidth="1"/>
    <col min="19" max="19" width="38.28125" style="5" customWidth="1"/>
    <col min="20" max="20" width="24.7109375" style="5" customWidth="1"/>
    <col min="21" max="21" width="16.7109375" style="5" customWidth="1"/>
    <col min="22" max="22" width="16.57421875" style="5" customWidth="1"/>
    <col min="23" max="23" width="7.57421875" style="5" customWidth="1"/>
    <col min="24" max="24" width="11.140625" style="5" customWidth="1"/>
    <col min="25" max="25" width="16.421875" style="5" customWidth="1"/>
    <col min="26" max="26" width="2.57421875" style="5" customWidth="1"/>
    <col min="27" max="27" width="11.140625" style="5" customWidth="1"/>
    <col min="28" max="28" width="16.421875" style="5" customWidth="1"/>
    <col min="29" max="29" width="2.57421875" style="5" customWidth="1"/>
    <col min="30" max="30" width="11.140625" style="5" customWidth="1"/>
    <col min="31" max="31" width="16.421875" style="5" customWidth="1"/>
    <col min="32" max="32" width="2.57421875" style="5" customWidth="1"/>
    <col min="33" max="33" width="11.140625" style="5" customWidth="1"/>
    <col min="34" max="34" width="16.421875" style="5" customWidth="1"/>
    <col min="35" max="35" width="2.57421875" style="5" customWidth="1"/>
    <col min="36" max="36" width="11.140625" style="5" customWidth="1"/>
    <col min="37" max="37" width="16.421875" style="5" customWidth="1"/>
    <col min="38" max="38" width="2.57421875" style="5" customWidth="1"/>
    <col min="39" max="39" width="11.140625" style="5" customWidth="1"/>
    <col min="40" max="40" width="16.421875" style="5" customWidth="1"/>
    <col min="41" max="41" width="2.57421875" style="5" customWidth="1"/>
    <col min="42" max="42" width="11.140625" style="5" customWidth="1"/>
    <col min="43" max="43" width="16.421875" style="5" customWidth="1"/>
    <col min="44" max="44" width="2.57421875" style="5" customWidth="1"/>
    <col min="45" max="45" width="11.140625" style="5" customWidth="1"/>
    <col min="46" max="46" width="16.421875" style="5" customWidth="1"/>
    <col min="47" max="47" width="2.57421875" style="5" customWidth="1"/>
    <col min="48" max="48" width="11.421875" style="5" customWidth="1"/>
    <col min="49" max="16384" width="11.421875" style="5" hidden="1" customWidth="1"/>
  </cols>
  <sheetData>
    <row r="1" spans="1:51" s="153" customFormat="1" ht="12">
      <c r="A1" s="466"/>
      <c r="B1" s="467"/>
      <c r="C1" s="497"/>
      <c r="D1" s="500" t="s">
        <v>329</v>
      </c>
      <c r="E1" s="501"/>
      <c r="F1" s="501"/>
      <c r="G1" s="501"/>
      <c r="H1" s="501"/>
      <c r="I1" s="502"/>
      <c r="J1" s="457" t="s">
        <v>160</v>
      </c>
      <c r="K1" s="458"/>
      <c r="L1" s="458"/>
      <c r="M1" s="459"/>
      <c r="N1" s="500"/>
      <c r="O1" s="502"/>
      <c r="P1" s="500"/>
      <c r="Q1" s="501"/>
      <c r="R1" s="502"/>
      <c r="S1" s="503" t="s">
        <v>330</v>
      </c>
      <c r="T1" s="504"/>
      <c r="U1" s="504"/>
      <c r="V1" s="504"/>
      <c r="W1" s="504"/>
      <c r="X1" s="504"/>
      <c r="Y1" s="504"/>
      <c r="Z1" s="504"/>
      <c r="AA1" s="505"/>
      <c r="AB1" s="457" t="s">
        <v>160</v>
      </c>
      <c r="AC1" s="458"/>
      <c r="AD1" s="458"/>
      <c r="AE1" s="459"/>
      <c r="AF1" s="206"/>
      <c r="AG1" s="206"/>
      <c r="AH1" s="500"/>
      <c r="AI1" s="501"/>
      <c r="AJ1" s="502"/>
      <c r="AK1" s="503" t="s">
        <v>331</v>
      </c>
      <c r="AL1" s="504"/>
      <c r="AM1" s="504"/>
      <c r="AN1" s="504"/>
      <c r="AO1" s="504"/>
      <c r="AP1" s="504"/>
      <c r="AQ1" s="504"/>
      <c r="AR1" s="505"/>
      <c r="AS1" s="457" t="s">
        <v>160</v>
      </c>
      <c r="AT1" s="458"/>
      <c r="AU1" s="458"/>
      <c r="AV1" s="459"/>
      <c r="AW1" s="466"/>
      <c r="AX1" s="467"/>
      <c r="AY1" s="497"/>
    </row>
    <row r="2" spans="1:51" s="153" customFormat="1" ht="12">
      <c r="A2" s="468"/>
      <c r="B2" s="469"/>
      <c r="C2" s="498"/>
      <c r="D2" s="503"/>
      <c r="E2" s="504"/>
      <c r="F2" s="504"/>
      <c r="G2" s="504"/>
      <c r="H2" s="504"/>
      <c r="I2" s="505"/>
      <c r="J2" s="460"/>
      <c r="K2" s="461"/>
      <c r="L2" s="461"/>
      <c r="M2" s="462"/>
      <c r="N2" s="503"/>
      <c r="O2" s="505"/>
      <c r="P2" s="503"/>
      <c r="Q2" s="504"/>
      <c r="R2" s="505"/>
      <c r="S2" s="503"/>
      <c r="T2" s="504"/>
      <c r="U2" s="504"/>
      <c r="V2" s="504"/>
      <c r="W2" s="504"/>
      <c r="X2" s="504"/>
      <c r="Y2" s="504"/>
      <c r="Z2" s="504"/>
      <c r="AA2" s="505"/>
      <c r="AB2" s="460"/>
      <c r="AC2" s="461"/>
      <c r="AD2" s="461"/>
      <c r="AE2" s="462"/>
      <c r="AF2" s="207"/>
      <c r="AG2" s="207"/>
      <c r="AH2" s="503"/>
      <c r="AI2" s="504"/>
      <c r="AJ2" s="505"/>
      <c r="AK2" s="503"/>
      <c r="AL2" s="504"/>
      <c r="AM2" s="504"/>
      <c r="AN2" s="504"/>
      <c r="AO2" s="504"/>
      <c r="AP2" s="504"/>
      <c r="AQ2" s="504"/>
      <c r="AR2" s="505"/>
      <c r="AS2" s="460"/>
      <c r="AT2" s="461"/>
      <c r="AU2" s="461"/>
      <c r="AV2" s="462"/>
      <c r="AW2" s="468"/>
      <c r="AX2" s="469"/>
      <c r="AY2" s="498"/>
    </row>
    <row r="3" spans="1:51" s="153" customFormat="1" ht="12">
      <c r="A3" s="468"/>
      <c r="B3" s="469"/>
      <c r="C3" s="498"/>
      <c r="D3" s="503"/>
      <c r="E3" s="504"/>
      <c r="F3" s="504"/>
      <c r="G3" s="504"/>
      <c r="H3" s="504"/>
      <c r="I3" s="505"/>
      <c r="J3" s="460"/>
      <c r="K3" s="461"/>
      <c r="L3" s="461"/>
      <c r="M3" s="462"/>
      <c r="N3" s="503"/>
      <c r="O3" s="505"/>
      <c r="P3" s="503"/>
      <c r="Q3" s="504"/>
      <c r="R3" s="505"/>
      <c r="S3" s="503"/>
      <c r="T3" s="504"/>
      <c r="U3" s="504"/>
      <c r="V3" s="504"/>
      <c r="W3" s="504"/>
      <c r="X3" s="504"/>
      <c r="Y3" s="504"/>
      <c r="Z3" s="504"/>
      <c r="AA3" s="505"/>
      <c r="AB3" s="460"/>
      <c r="AC3" s="461"/>
      <c r="AD3" s="461"/>
      <c r="AE3" s="462"/>
      <c r="AF3" s="207"/>
      <c r="AG3" s="207"/>
      <c r="AH3" s="503"/>
      <c r="AI3" s="504"/>
      <c r="AJ3" s="505"/>
      <c r="AK3" s="503"/>
      <c r="AL3" s="504"/>
      <c r="AM3" s="504"/>
      <c r="AN3" s="504"/>
      <c r="AO3" s="504"/>
      <c r="AP3" s="504"/>
      <c r="AQ3" s="504"/>
      <c r="AR3" s="505"/>
      <c r="AS3" s="460"/>
      <c r="AT3" s="461"/>
      <c r="AU3" s="461"/>
      <c r="AV3" s="462"/>
      <c r="AW3" s="468"/>
      <c r="AX3" s="469"/>
      <c r="AY3" s="498"/>
    </row>
    <row r="4" spans="1:51" s="153" customFormat="1" ht="12">
      <c r="A4" s="468"/>
      <c r="B4" s="469"/>
      <c r="C4" s="498"/>
      <c r="D4" s="503"/>
      <c r="E4" s="504"/>
      <c r="F4" s="504"/>
      <c r="G4" s="504"/>
      <c r="H4" s="504"/>
      <c r="I4" s="505"/>
      <c r="J4" s="460"/>
      <c r="K4" s="461"/>
      <c r="L4" s="461"/>
      <c r="M4" s="462"/>
      <c r="N4" s="503"/>
      <c r="O4" s="505"/>
      <c r="P4" s="503"/>
      <c r="Q4" s="504"/>
      <c r="R4" s="505"/>
      <c r="S4" s="503"/>
      <c r="T4" s="504"/>
      <c r="U4" s="504"/>
      <c r="V4" s="504"/>
      <c r="W4" s="504"/>
      <c r="X4" s="504"/>
      <c r="Y4" s="504"/>
      <c r="Z4" s="504"/>
      <c r="AA4" s="505"/>
      <c r="AB4" s="460"/>
      <c r="AC4" s="461"/>
      <c r="AD4" s="461"/>
      <c r="AE4" s="462"/>
      <c r="AF4" s="207"/>
      <c r="AG4" s="207"/>
      <c r="AH4" s="503"/>
      <c r="AI4" s="504"/>
      <c r="AJ4" s="505"/>
      <c r="AK4" s="503"/>
      <c r="AL4" s="504"/>
      <c r="AM4" s="504"/>
      <c r="AN4" s="504"/>
      <c r="AO4" s="504"/>
      <c r="AP4" s="504"/>
      <c r="AQ4" s="504"/>
      <c r="AR4" s="505"/>
      <c r="AS4" s="460"/>
      <c r="AT4" s="461"/>
      <c r="AU4" s="461"/>
      <c r="AV4" s="462"/>
      <c r="AW4" s="468"/>
      <c r="AX4" s="469"/>
      <c r="AY4" s="498"/>
    </row>
    <row r="5" spans="1:51" s="153" customFormat="1" ht="12">
      <c r="A5" s="468"/>
      <c r="B5" s="469"/>
      <c r="C5" s="498"/>
      <c r="D5" s="503"/>
      <c r="E5" s="504"/>
      <c r="F5" s="504"/>
      <c r="G5" s="504"/>
      <c r="H5" s="504"/>
      <c r="I5" s="505"/>
      <c r="J5" s="460"/>
      <c r="K5" s="461"/>
      <c r="L5" s="461"/>
      <c r="M5" s="462"/>
      <c r="N5" s="503"/>
      <c r="O5" s="505"/>
      <c r="P5" s="503"/>
      <c r="Q5" s="504"/>
      <c r="R5" s="505"/>
      <c r="S5" s="503"/>
      <c r="T5" s="504"/>
      <c r="U5" s="504"/>
      <c r="V5" s="504"/>
      <c r="W5" s="504"/>
      <c r="X5" s="504"/>
      <c r="Y5" s="504"/>
      <c r="Z5" s="504"/>
      <c r="AA5" s="505"/>
      <c r="AB5" s="460"/>
      <c r="AC5" s="461"/>
      <c r="AD5" s="461"/>
      <c r="AE5" s="462"/>
      <c r="AF5" s="207"/>
      <c r="AG5" s="207"/>
      <c r="AH5" s="503"/>
      <c r="AI5" s="504"/>
      <c r="AJ5" s="505"/>
      <c r="AK5" s="503"/>
      <c r="AL5" s="504"/>
      <c r="AM5" s="504"/>
      <c r="AN5" s="504"/>
      <c r="AO5" s="504"/>
      <c r="AP5" s="504"/>
      <c r="AQ5" s="504"/>
      <c r="AR5" s="505"/>
      <c r="AS5" s="460"/>
      <c r="AT5" s="461"/>
      <c r="AU5" s="461"/>
      <c r="AV5" s="462"/>
      <c r="AW5" s="468"/>
      <c r="AX5" s="469"/>
      <c r="AY5" s="498"/>
    </row>
    <row r="6" spans="1:51" s="153" customFormat="1" ht="12">
      <c r="A6" s="468"/>
      <c r="B6" s="469"/>
      <c r="C6" s="498"/>
      <c r="D6" s="503"/>
      <c r="E6" s="504"/>
      <c r="F6" s="504"/>
      <c r="G6" s="504"/>
      <c r="H6" s="504"/>
      <c r="I6" s="505"/>
      <c r="J6" s="460"/>
      <c r="K6" s="461"/>
      <c r="L6" s="461"/>
      <c r="M6" s="462"/>
      <c r="N6" s="503"/>
      <c r="O6" s="505"/>
      <c r="P6" s="503"/>
      <c r="Q6" s="504"/>
      <c r="R6" s="505"/>
      <c r="S6" s="503"/>
      <c r="T6" s="504"/>
      <c r="U6" s="504"/>
      <c r="V6" s="504"/>
      <c r="W6" s="504"/>
      <c r="X6" s="504"/>
      <c r="Y6" s="504"/>
      <c r="Z6" s="504"/>
      <c r="AA6" s="505"/>
      <c r="AB6" s="460"/>
      <c r="AC6" s="461"/>
      <c r="AD6" s="461"/>
      <c r="AE6" s="462"/>
      <c r="AF6" s="207"/>
      <c r="AG6" s="207"/>
      <c r="AH6" s="503"/>
      <c r="AI6" s="504"/>
      <c r="AJ6" s="505"/>
      <c r="AK6" s="503"/>
      <c r="AL6" s="504"/>
      <c r="AM6" s="504"/>
      <c r="AN6" s="504"/>
      <c r="AO6" s="504"/>
      <c r="AP6" s="504"/>
      <c r="AQ6" s="504"/>
      <c r="AR6" s="505"/>
      <c r="AS6" s="460"/>
      <c r="AT6" s="461"/>
      <c r="AU6" s="461"/>
      <c r="AV6" s="462"/>
      <c r="AW6" s="468"/>
      <c r="AX6" s="469"/>
      <c r="AY6" s="498"/>
    </row>
    <row r="7" spans="1:51" s="153" customFormat="1" ht="12">
      <c r="A7" s="468"/>
      <c r="B7" s="469"/>
      <c r="C7" s="498"/>
      <c r="D7" s="503"/>
      <c r="E7" s="504"/>
      <c r="F7" s="504"/>
      <c r="G7" s="504"/>
      <c r="H7" s="504"/>
      <c r="I7" s="505"/>
      <c r="J7" s="460"/>
      <c r="K7" s="461"/>
      <c r="L7" s="461"/>
      <c r="M7" s="462"/>
      <c r="N7" s="503"/>
      <c r="O7" s="505"/>
      <c r="P7" s="503"/>
      <c r="Q7" s="504"/>
      <c r="R7" s="505"/>
      <c r="S7" s="503"/>
      <c r="T7" s="504"/>
      <c r="U7" s="504"/>
      <c r="V7" s="504"/>
      <c r="W7" s="504"/>
      <c r="X7" s="504"/>
      <c r="Y7" s="504"/>
      <c r="Z7" s="504"/>
      <c r="AA7" s="505"/>
      <c r="AB7" s="460"/>
      <c r="AC7" s="461"/>
      <c r="AD7" s="461"/>
      <c r="AE7" s="462"/>
      <c r="AF7" s="207"/>
      <c r="AG7" s="207"/>
      <c r="AH7" s="503"/>
      <c r="AI7" s="504"/>
      <c r="AJ7" s="505"/>
      <c r="AK7" s="503"/>
      <c r="AL7" s="504"/>
      <c r="AM7" s="504"/>
      <c r="AN7" s="504"/>
      <c r="AO7" s="504"/>
      <c r="AP7" s="504"/>
      <c r="AQ7" s="504"/>
      <c r="AR7" s="505"/>
      <c r="AS7" s="460"/>
      <c r="AT7" s="461"/>
      <c r="AU7" s="461"/>
      <c r="AV7" s="462"/>
      <c r="AW7" s="468"/>
      <c r="AX7" s="469"/>
      <c r="AY7" s="498"/>
    </row>
    <row r="8" spans="1:51" s="153" customFormat="1" ht="12.75" thickBot="1">
      <c r="A8" s="470"/>
      <c r="B8" s="471"/>
      <c r="C8" s="499"/>
      <c r="D8" s="506"/>
      <c r="E8" s="507"/>
      <c r="F8" s="507"/>
      <c r="G8" s="507"/>
      <c r="H8" s="507"/>
      <c r="I8" s="508"/>
      <c r="J8" s="463"/>
      <c r="K8" s="464"/>
      <c r="L8" s="464"/>
      <c r="M8" s="465"/>
      <c r="N8" s="506"/>
      <c r="O8" s="508"/>
      <c r="P8" s="506"/>
      <c r="Q8" s="507"/>
      <c r="R8" s="508"/>
      <c r="S8" s="506"/>
      <c r="T8" s="507"/>
      <c r="U8" s="507"/>
      <c r="V8" s="507"/>
      <c r="W8" s="507"/>
      <c r="X8" s="507"/>
      <c r="Y8" s="507"/>
      <c r="Z8" s="507"/>
      <c r="AA8" s="508"/>
      <c r="AB8" s="463"/>
      <c r="AC8" s="464"/>
      <c r="AD8" s="464"/>
      <c r="AE8" s="465"/>
      <c r="AF8" s="208"/>
      <c r="AG8" s="208"/>
      <c r="AH8" s="506"/>
      <c r="AI8" s="507"/>
      <c r="AJ8" s="508"/>
      <c r="AK8" s="506"/>
      <c r="AL8" s="507"/>
      <c r="AM8" s="507"/>
      <c r="AN8" s="507"/>
      <c r="AO8" s="507"/>
      <c r="AP8" s="507"/>
      <c r="AQ8" s="507"/>
      <c r="AR8" s="508"/>
      <c r="AS8" s="463"/>
      <c r="AT8" s="464"/>
      <c r="AU8" s="464"/>
      <c r="AV8" s="465"/>
      <c r="AW8" s="470"/>
      <c r="AX8" s="471"/>
      <c r="AY8" s="499"/>
    </row>
    <row r="9" ht="15"/>
    <row r="10" spans="6:9" ht="25.5">
      <c r="F10" s="2" t="s">
        <v>3</v>
      </c>
      <c r="G10" s="2"/>
      <c r="H10" s="2"/>
      <c r="I10" s="2"/>
    </row>
    <row r="11" spans="2:47" ht="15" customHeight="1">
      <c r="B11" s="472" t="s">
        <v>231</v>
      </c>
      <c r="C11" s="512" t="s">
        <v>232</v>
      </c>
      <c r="D11" s="210"/>
      <c r="E11" s="474" t="s">
        <v>233</v>
      </c>
      <c r="F11" s="474" t="s">
        <v>8</v>
      </c>
      <c r="G11" s="475" t="s">
        <v>18</v>
      </c>
      <c r="H11" s="476"/>
      <c r="I11" s="477"/>
      <c r="J11" s="211"/>
      <c r="K11" s="478" t="s">
        <v>0</v>
      </c>
      <c r="L11" s="478"/>
      <c r="M11" s="478" t="s">
        <v>280</v>
      </c>
      <c r="N11" s="478"/>
      <c r="O11" s="478" t="s">
        <v>171</v>
      </c>
      <c r="P11" s="478"/>
      <c r="Q11" s="478" t="s">
        <v>172</v>
      </c>
      <c r="R11" s="478"/>
      <c r="S11" s="455" t="s">
        <v>1</v>
      </c>
      <c r="T11" s="455" t="s">
        <v>2</v>
      </c>
      <c r="U11" s="509" t="s">
        <v>234</v>
      </c>
      <c r="V11" s="510"/>
      <c r="W11" s="511"/>
      <c r="X11" s="474" t="s">
        <v>235</v>
      </c>
      <c r="Y11" s="474"/>
      <c r="Z11" s="474"/>
      <c r="AA11" s="474" t="s">
        <v>236</v>
      </c>
      <c r="AB11" s="474"/>
      <c r="AC11" s="474"/>
      <c r="AD11" s="474" t="s">
        <v>237</v>
      </c>
      <c r="AE11" s="474"/>
      <c r="AF11" s="474"/>
      <c r="AG11" s="474" t="s">
        <v>238</v>
      </c>
      <c r="AH11" s="474"/>
      <c r="AI11" s="474"/>
      <c r="AJ11" s="474" t="s">
        <v>239</v>
      </c>
      <c r="AK11" s="474"/>
      <c r="AL11" s="474"/>
      <c r="AM11" s="474" t="s">
        <v>240</v>
      </c>
      <c r="AN11" s="474"/>
      <c r="AO11" s="474"/>
      <c r="AP11" s="474" t="s">
        <v>241</v>
      </c>
      <c r="AQ11" s="474"/>
      <c r="AR11" s="474"/>
      <c r="AS11" s="474" t="s">
        <v>242</v>
      </c>
      <c r="AT11" s="474"/>
      <c r="AU11" s="474"/>
    </row>
    <row r="12" spans="1:47" ht="57.75" customHeight="1">
      <c r="A12" s="1" t="s">
        <v>190</v>
      </c>
      <c r="B12" s="473"/>
      <c r="C12" s="513"/>
      <c r="D12" s="210" t="s">
        <v>9</v>
      </c>
      <c r="E12" s="474"/>
      <c r="F12" s="474"/>
      <c r="G12" s="4" t="s">
        <v>4</v>
      </c>
      <c r="H12" s="4" t="s">
        <v>5</v>
      </c>
      <c r="I12" s="4" t="s">
        <v>6</v>
      </c>
      <c r="J12" s="4" t="s">
        <v>7</v>
      </c>
      <c r="K12" s="3" t="s">
        <v>115</v>
      </c>
      <c r="L12" s="3" t="s">
        <v>116</v>
      </c>
      <c r="M12" s="212" t="s">
        <v>193</v>
      </c>
      <c r="N12" s="212" t="s">
        <v>194</v>
      </c>
      <c r="O12" s="3" t="s">
        <v>195</v>
      </c>
      <c r="P12" s="3" t="s">
        <v>196</v>
      </c>
      <c r="Q12" s="3" t="s">
        <v>197</v>
      </c>
      <c r="R12" s="3" t="s">
        <v>196</v>
      </c>
      <c r="S12" s="455"/>
      <c r="T12" s="455"/>
      <c r="U12" s="3" t="s">
        <v>243</v>
      </c>
      <c r="V12" s="3" t="s">
        <v>244</v>
      </c>
      <c r="W12" s="3" t="s">
        <v>245</v>
      </c>
      <c r="X12" s="3" t="s">
        <v>243</v>
      </c>
      <c r="Y12" s="3" t="s">
        <v>244</v>
      </c>
      <c r="Z12" s="3" t="s">
        <v>245</v>
      </c>
      <c r="AA12" s="3" t="s">
        <v>243</v>
      </c>
      <c r="AB12" s="3" t="s">
        <v>244</v>
      </c>
      <c r="AC12" s="3" t="s">
        <v>245</v>
      </c>
      <c r="AD12" s="3" t="s">
        <v>243</v>
      </c>
      <c r="AE12" s="3" t="s">
        <v>244</v>
      </c>
      <c r="AF12" s="3" t="s">
        <v>245</v>
      </c>
      <c r="AG12" s="3" t="s">
        <v>243</v>
      </c>
      <c r="AH12" s="3" t="s">
        <v>244</v>
      </c>
      <c r="AI12" s="3" t="s">
        <v>245</v>
      </c>
      <c r="AJ12" s="3" t="s">
        <v>243</v>
      </c>
      <c r="AK12" s="3" t="s">
        <v>244</v>
      </c>
      <c r="AL12" s="3" t="s">
        <v>245</v>
      </c>
      <c r="AM12" s="3" t="s">
        <v>243</v>
      </c>
      <c r="AN12" s="3" t="s">
        <v>244</v>
      </c>
      <c r="AO12" s="3" t="s">
        <v>245</v>
      </c>
      <c r="AP12" s="3" t="s">
        <v>243</v>
      </c>
      <c r="AQ12" s="3" t="s">
        <v>244</v>
      </c>
      <c r="AR12" s="3" t="s">
        <v>245</v>
      </c>
      <c r="AS12" s="3" t="s">
        <v>243</v>
      </c>
      <c r="AT12" s="3" t="s">
        <v>244</v>
      </c>
      <c r="AU12" s="3" t="s">
        <v>245</v>
      </c>
    </row>
    <row r="13" spans="1:47" s="6" customFormat="1" ht="60.75" customHeight="1" outlineLevel="2">
      <c r="A13" s="213"/>
      <c r="B13" s="216" t="s">
        <v>201</v>
      </c>
      <c r="C13" s="214">
        <v>886</v>
      </c>
      <c r="D13" s="340" t="s">
        <v>332</v>
      </c>
      <c r="E13" s="214"/>
      <c r="F13" s="340" t="s">
        <v>53</v>
      </c>
      <c r="G13" s="216"/>
      <c r="H13" s="216" t="s">
        <v>26</v>
      </c>
      <c r="I13" s="217"/>
      <c r="J13" s="216" t="s">
        <v>78</v>
      </c>
      <c r="K13" s="341">
        <v>0.25</v>
      </c>
      <c r="L13" s="342">
        <f>+K13/12*7</f>
        <v>0.14583333333333331</v>
      </c>
      <c r="M13" s="343">
        <v>400000000</v>
      </c>
      <c r="N13" s="222">
        <v>340000000</v>
      </c>
      <c r="O13" s="222">
        <v>0</v>
      </c>
      <c r="P13" s="222">
        <v>0</v>
      </c>
      <c r="Q13" s="344">
        <v>0</v>
      </c>
      <c r="R13" s="222">
        <v>0</v>
      </c>
      <c r="S13" s="345" t="s">
        <v>333</v>
      </c>
      <c r="T13" s="346"/>
      <c r="U13" s="222">
        <f aca="true" t="shared" si="0" ref="U13:V15">+N13</f>
        <v>340000000</v>
      </c>
      <c r="V13" s="222">
        <f t="shared" si="0"/>
        <v>0</v>
      </c>
      <c r="W13" s="225">
        <f>+V13/U13</f>
        <v>0</v>
      </c>
      <c r="X13" s="226"/>
      <c r="Y13" s="226"/>
      <c r="Z13" s="225"/>
      <c r="AA13" s="226"/>
      <c r="AB13" s="226"/>
      <c r="AC13" s="225"/>
      <c r="AD13" s="226"/>
      <c r="AE13" s="226"/>
      <c r="AF13" s="225"/>
      <c r="AG13" s="226"/>
      <c r="AH13" s="226"/>
      <c r="AI13" s="225"/>
      <c r="AJ13" s="226"/>
      <c r="AK13" s="226"/>
      <c r="AL13" s="225"/>
      <c r="AM13" s="226"/>
      <c r="AN13" s="226"/>
      <c r="AO13" s="225"/>
      <c r="AP13" s="226"/>
      <c r="AQ13" s="226"/>
      <c r="AR13" s="225"/>
      <c r="AS13" s="226"/>
      <c r="AT13" s="226"/>
      <c r="AU13" s="225"/>
    </row>
    <row r="14" spans="1:47" s="6" customFormat="1" ht="48" customHeight="1" outlineLevel="2">
      <c r="A14" s="213"/>
      <c r="B14" s="216" t="s">
        <v>201</v>
      </c>
      <c r="C14" s="214">
        <v>886</v>
      </c>
      <c r="D14" s="340" t="s">
        <v>332</v>
      </c>
      <c r="E14" s="214"/>
      <c r="F14" s="340" t="s">
        <v>54</v>
      </c>
      <c r="G14" s="216"/>
      <c r="H14" s="216" t="s">
        <v>26</v>
      </c>
      <c r="I14" s="217"/>
      <c r="J14" s="216" t="s">
        <v>79</v>
      </c>
      <c r="K14" s="341">
        <v>1</v>
      </c>
      <c r="L14" s="342">
        <f>+K14/12*7</f>
        <v>0.5833333333333333</v>
      </c>
      <c r="M14" s="347">
        <v>44962500</v>
      </c>
      <c r="N14" s="222">
        <v>55848000</v>
      </c>
      <c r="O14" s="222">
        <v>55848000</v>
      </c>
      <c r="P14" s="222">
        <f>5274533+4654000+4654000</f>
        <v>14582533</v>
      </c>
      <c r="Q14" s="344">
        <f>122122000-94799467</f>
        <v>27322533</v>
      </c>
      <c r="R14" s="222">
        <v>27322533</v>
      </c>
      <c r="S14" s="345" t="s">
        <v>334</v>
      </c>
      <c r="T14" s="224"/>
      <c r="U14" s="222">
        <f t="shared" si="0"/>
        <v>55848000</v>
      </c>
      <c r="V14" s="222">
        <f t="shared" si="0"/>
        <v>55848000</v>
      </c>
      <c r="W14" s="225">
        <f>+V14/U14</f>
        <v>1</v>
      </c>
      <c r="X14" s="226"/>
      <c r="Y14" s="226"/>
      <c r="Z14" s="225"/>
      <c r="AA14" s="226"/>
      <c r="AB14" s="226"/>
      <c r="AC14" s="225"/>
      <c r="AD14" s="226"/>
      <c r="AE14" s="226"/>
      <c r="AF14" s="225"/>
      <c r="AG14" s="226"/>
      <c r="AH14" s="226"/>
      <c r="AI14" s="225"/>
      <c r="AJ14" s="226"/>
      <c r="AK14" s="226"/>
      <c r="AL14" s="225"/>
      <c r="AM14" s="226"/>
      <c r="AN14" s="226"/>
      <c r="AO14" s="225"/>
      <c r="AP14" s="226"/>
      <c r="AQ14" s="226"/>
      <c r="AR14" s="225"/>
      <c r="AS14" s="226"/>
      <c r="AT14" s="226"/>
      <c r="AU14" s="225"/>
    </row>
    <row r="15" spans="1:47" s="6" customFormat="1" ht="63" customHeight="1" outlineLevel="2">
      <c r="A15" s="213"/>
      <c r="B15" s="216" t="s">
        <v>201</v>
      </c>
      <c r="C15" s="214">
        <v>886</v>
      </c>
      <c r="D15" s="340" t="s">
        <v>332</v>
      </c>
      <c r="E15" s="214"/>
      <c r="F15" s="340" t="s">
        <v>55</v>
      </c>
      <c r="G15" s="216"/>
      <c r="H15" s="216" t="s">
        <v>26</v>
      </c>
      <c r="I15" s="217"/>
      <c r="J15" s="216" t="s">
        <v>80</v>
      </c>
      <c r="K15" s="341">
        <v>1</v>
      </c>
      <c r="L15" s="342">
        <f>+K15/12*7</f>
        <v>0.5833333333333333</v>
      </c>
      <c r="M15" s="347">
        <v>79054500</v>
      </c>
      <c r="N15" s="222">
        <v>79054500</v>
      </c>
      <c r="O15" s="222">
        <v>0</v>
      </c>
      <c r="P15" s="222">
        <v>0</v>
      </c>
      <c r="Q15" s="344">
        <v>0</v>
      </c>
      <c r="R15" s="222">
        <v>0</v>
      </c>
      <c r="S15" s="345" t="s">
        <v>335</v>
      </c>
      <c r="T15" s="348"/>
      <c r="U15" s="222">
        <f t="shared" si="0"/>
        <v>79054500</v>
      </c>
      <c r="V15" s="222">
        <f t="shared" si="0"/>
        <v>0</v>
      </c>
      <c r="W15" s="225">
        <f>+V15/U15</f>
        <v>0</v>
      </c>
      <c r="X15" s="226"/>
      <c r="Y15" s="226"/>
      <c r="Z15" s="225">
        <f>IF(X15=0,"",Y15/X15)</f>
      </c>
      <c r="AA15" s="226"/>
      <c r="AB15" s="226"/>
      <c r="AC15" s="225">
        <f>IF(AA15=0,"",AB15/AA15)</f>
      </c>
      <c r="AD15" s="226"/>
      <c r="AE15" s="226"/>
      <c r="AF15" s="225">
        <f>IF(AD15=0,"",AE15/AD15)</f>
      </c>
      <c r="AG15" s="226"/>
      <c r="AH15" s="226"/>
      <c r="AI15" s="225">
        <f>IF(AG15=0,"",AH15/AG15)</f>
      </c>
      <c r="AJ15" s="226"/>
      <c r="AK15" s="226"/>
      <c r="AL15" s="225">
        <f>IF(AJ15=0,"",AK15/AJ15)</f>
      </c>
      <c r="AM15" s="226"/>
      <c r="AN15" s="226"/>
      <c r="AO15" s="225">
        <f>IF(AM15=0,"",AN15/AM15)</f>
      </c>
      <c r="AP15" s="226"/>
      <c r="AQ15" s="226"/>
      <c r="AR15" s="225">
        <f>IF(AP15=0,"",AQ15/AP15)</f>
      </c>
      <c r="AS15" s="226"/>
      <c r="AT15" s="226"/>
      <c r="AU15" s="225">
        <f>IF(AS15=0,"",AT15/AS15)</f>
      </c>
    </row>
    <row r="16" spans="1:47" s="308" customFormat="1" ht="15" outlineLevel="1">
      <c r="A16" s="310"/>
      <c r="B16" s="298"/>
      <c r="C16" s="299"/>
      <c r="D16" s="299">
        <v>1</v>
      </c>
      <c r="E16" s="299"/>
      <c r="F16" s="301"/>
      <c r="G16" s="301"/>
      <c r="H16" s="301"/>
      <c r="I16" s="301"/>
      <c r="J16" s="299"/>
      <c r="K16" s="299"/>
      <c r="L16" s="349"/>
      <c r="M16" s="305">
        <f aca="true" t="shared" si="1" ref="M16:R16">SUM(M13:M15)</f>
        <v>524017000</v>
      </c>
      <c r="N16" s="305">
        <f t="shared" si="1"/>
        <v>474902500</v>
      </c>
      <c r="O16" s="305">
        <f t="shared" si="1"/>
        <v>55848000</v>
      </c>
      <c r="P16" s="305">
        <f t="shared" si="1"/>
        <v>14582533</v>
      </c>
      <c r="Q16" s="305">
        <f t="shared" si="1"/>
        <v>27322533</v>
      </c>
      <c r="R16" s="305">
        <f t="shared" si="1"/>
        <v>27322533</v>
      </c>
      <c r="S16" s="350"/>
      <c r="T16" s="311"/>
      <c r="U16" s="305">
        <f>SUM(U13:U15)</f>
        <v>474902500</v>
      </c>
      <c r="V16" s="305">
        <f>SUM(V13:V15)</f>
        <v>55848000</v>
      </c>
      <c r="W16" s="305">
        <f>SUM(W13:W15)</f>
        <v>1</v>
      </c>
      <c r="X16" s="299"/>
      <c r="Y16" s="299"/>
      <c r="Z16" s="351"/>
      <c r="AA16" s="299"/>
      <c r="AB16" s="299"/>
      <c r="AC16" s="351"/>
      <c r="AD16" s="299"/>
      <c r="AE16" s="299"/>
      <c r="AF16" s="351"/>
      <c r="AG16" s="299"/>
      <c r="AH16" s="299"/>
      <c r="AI16" s="351"/>
      <c r="AJ16" s="299"/>
      <c r="AK16" s="299"/>
      <c r="AL16" s="351"/>
      <c r="AM16" s="299"/>
      <c r="AN16" s="299"/>
      <c r="AO16" s="351"/>
      <c r="AP16" s="299"/>
      <c r="AQ16" s="299"/>
      <c r="AR16" s="351"/>
      <c r="AS16" s="299"/>
      <c r="AT16" s="299"/>
      <c r="AU16" s="351"/>
    </row>
    <row r="17" spans="1:47" s="6" customFormat="1" ht="72" customHeight="1" outlineLevel="2">
      <c r="A17" s="213"/>
      <c r="B17" s="216" t="s">
        <v>260</v>
      </c>
      <c r="C17" s="214">
        <v>886</v>
      </c>
      <c r="D17" s="340" t="s">
        <v>52</v>
      </c>
      <c r="E17" s="214"/>
      <c r="F17" s="340" t="s">
        <v>365</v>
      </c>
      <c r="G17" s="216"/>
      <c r="H17" s="216" t="s">
        <v>26</v>
      </c>
      <c r="I17" s="217"/>
      <c r="J17" s="352" t="s">
        <v>98</v>
      </c>
      <c r="K17" s="353">
        <v>0.25</v>
      </c>
      <c r="L17" s="342">
        <v>0.13</v>
      </c>
      <c r="M17" s="354">
        <v>0</v>
      </c>
      <c r="N17" s="222">
        <v>0</v>
      </c>
      <c r="O17" s="222">
        <v>0</v>
      </c>
      <c r="P17" s="222">
        <v>0</v>
      </c>
      <c r="Q17" s="344">
        <f>205732500-124458500</f>
        <v>81274000</v>
      </c>
      <c r="R17" s="222">
        <f>44167000+31641833-4514600</f>
        <v>71294233</v>
      </c>
      <c r="S17" s="345" t="s">
        <v>336</v>
      </c>
      <c r="T17" s="355"/>
      <c r="U17" s="222">
        <f aca="true" t="shared" si="2" ref="U17:V20">+N17</f>
        <v>0</v>
      </c>
      <c r="V17" s="222">
        <f t="shared" si="2"/>
        <v>0</v>
      </c>
      <c r="W17" s="225" t="e">
        <f>+V17/U17</f>
        <v>#DIV/0!</v>
      </c>
      <c r="X17" s="226"/>
      <c r="Y17" s="226"/>
      <c r="Z17" s="225">
        <f>IF(X17=0,"",Y17/X17)</f>
      </c>
      <c r="AA17" s="226"/>
      <c r="AB17" s="226"/>
      <c r="AC17" s="225">
        <f>IF(AA17=0,"",AB17/AA17)</f>
      </c>
      <c r="AD17" s="226"/>
      <c r="AE17" s="226"/>
      <c r="AF17" s="225">
        <f>IF(AD17=0,"",AE17/AD17)</f>
      </c>
      <c r="AG17" s="226"/>
      <c r="AH17" s="226"/>
      <c r="AI17" s="225">
        <f>IF(AG17=0,"",AH17/AG17)</f>
      </c>
      <c r="AJ17" s="226"/>
      <c r="AK17" s="226"/>
      <c r="AL17" s="225">
        <f>IF(AJ17=0,"",AK17/AJ17)</f>
      </c>
      <c r="AM17" s="226"/>
      <c r="AN17" s="226"/>
      <c r="AO17" s="225">
        <f>IF(AM17=0,"",AN17/AM17)</f>
      </c>
      <c r="AP17" s="226"/>
      <c r="AQ17" s="226"/>
      <c r="AR17" s="225">
        <f>IF(AP17=0,"",AQ17/AP17)</f>
      </c>
      <c r="AS17" s="226"/>
      <c r="AT17" s="226"/>
      <c r="AU17" s="225">
        <f>IF(AS17=0,"",AT17/AS17)</f>
      </c>
    </row>
    <row r="18" spans="1:47" s="6" customFormat="1" ht="58.5" customHeight="1" outlineLevel="2">
      <c r="A18" s="213"/>
      <c r="B18" s="216" t="s">
        <v>260</v>
      </c>
      <c r="C18" s="214">
        <v>886</v>
      </c>
      <c r="D18" s="340" t="s">
        <v>52</v>
      </c>
      <c r="E18" s="214"/>
      <c r="F18" s="340" t="s">
        <v>337</v>
      </c>
      <c r="G18" s="216"/>
      <c r="H18" s="216" t="s">
        <v>26</v>
      </c>
      <c r="I18" s="217"/>
      <c r="J18" s="352" t="s">
        <v>99</v>
      </c>
      <c r="K18" s="353">
        <v>0.25</v>
      </c>
      <c r="L18" s="342">
        <v>0.13</v>
      </c>
      <c r="M18" s="354">
        <v>0</v>
      </c>
      <c r="N18" s="222">
        <v>0</v>
      </c>
      <c r="O18" s="222">
        <v>0</v>
      </c>
      <c r="P18" s="222">
        <v>0</v>
      </c>
      <c r="Q18" s="344">
        <v>0</v>
      </c>
      <c r="R18" s="222">
        <v>0</v>
      </c>
      <c r="S18" s="345" t="s">
        <v>338</v>
      </c>
      <c r="T18" s="356" t="s">
        <v>339</v>
      </c>
      <c r="U18" s="222">
        <f t="shared" si="2"/>
        <v>0</v>
      </c>
      <c r="V18" s="222">
        <f t="shared" si="2"/>
        <v>0</v>
      </c>
      <c r="W18" s="225" t="e">
        <f>+V18/U18</f>
        <v>#DIV/0!</v>
      </c>
      <c r="X18" s="226"/>
      <c r="Y18" s="226"/>
      <c r="Z18" s="225"/>
      <c r="AA18" s="226"/>
      <c r="AB18" s="226"/>
      <c r="AC18" s="225"/>
      <c r="AD18" s="226"/>
      <c r="AE18" s="226"/>
      <c r="AF18" s="225"/>
      <c r="AG18" s="226"/>
      <c r="AH18" s="226"/>
      <c r="AI18" s="225"/>
      <c r="AJ18" s="226"/>
      <c r="AK18" s="226"/>
      <c r="AL18" s="225"/>
      <c r="AM18" s="226"/>
      <c r="AN18" s="226"/>
      <c r="AO18" s="225"/>
      <c r="AP18" s="226"/>
      <c r="AQ18" s="226"/>
      <c r="AR18" s="225"/>
      <c r="AS18" s="226"/>
      <c r="AT18" s="226"/>
      <c r="AU18" s="225"/>
    </row>
    <row r="19" spans="1:47" s="6" customFormat="1" ht="87" customHeight="1" outlineLevel="2">
      <c r="A19" s="213"/>
      <c r="B19" s="216" t="s">
        <v>260</v>
      </c>
      <c r="C19" s="214">
        <v>886</v>
      </c>
      <c r="D19" s="340" t="s">
        <v>52</v>
      </c>
      <c r="E19" s="214"/>
      <c r="F19" s="340" t="s">
        <v>76</v>
      </c>
      <c r="G19" s="216"/>
      <c r="H19" s="216" t="s">
        <v>26</v>
      </c>
      <c r="I19" s="217"/>
      <c r="J19" s="352" t="s">
        <v>100</v>
      </c>
      <c r="K19" s="353">
        <v>0.25</v>
      </c>
      <c r="L19" s="342">
        <v>0.13</v>
      </c>
      <c r="M19" s="354">
        <v>0</v>
      </c>
      <c r="N19" s="222">
        <v>169534000</v>
      </c>
      <c r="O19" s="222">
        <v>0</v>
      </c>
      <c r="P19" s="222">
        <v>0</v>
      </c>
      <c r="Q19" s="344">
        <f>219646000-167070166</f>
        <v>52575834</v>
      </c>
      <c r="R19" s="222">
        <f>32155000+20420834</f>
        <v>52575834</v>
      </c>
      <c r="S19" s="345" t="s">
        <v>340</v>
      </c>
      <c r="T19" s="346"/>
      <c r="U19" s="222">
        <f t="shared" si="2"/>
        <v>169534000</v>
      </c>
      <c r="V19" s="222">
        <f t="shared" si="2"/>
        <v>0</v>
      </c>
      <c r="W19" s="225">
        <f>+V19/U19</f>
        <v>0</v>
      </c>
      <c r="X19" s="226"/>
      <c r="Y19" s="226"/>
      <c r="Z19" s="225"/>
      <c r="AA19" s="226"/>
      <c r="AB19" s="226"/>
      <c r="AC19" s="225"/>
      <c r="AD19" s="226"/>
      <c r="AE19" s="226"/>
      <c r="AF19" s="225"/>
      <c r="AG19" s="226"/>
      <c r="AH19" s="226"/>
      <c r="AI19" s="225"/>
      <c r="AJ19" s="226"/>
      <c r="AK19" s="226"/>
      <c r="AL19" s="225"/>
      <c r="AM19" s="226"/>
      <c r="AN19" s="226"/>
      <c r="AO19" s="225"/>
      <c r="AP19" s="226"/>
      <c r="AQ19" s="226"/>
      <c r="AR19" s="225"/>
      <c r="AS19" s="226"/>
      <c r="AT19" s="226"/>
      <c r="AU19" s="225"/>
    </row>
    <row r="20" spans="1:47" s="6" customFormat="1" ht="84.75" customHeight="1" outlineLevel="1">
      <c r="A20" s="357"/>
      <c r="B20" s="216" t="s">
        <v>260</v>
      </c>
      <c r="C20" s="214">
        <v>886</v>
      </c>
      <c r="D20" s="340" t="s">
        <v>52</v>
      </c>
      <c r="E20" s="214"/>
      <c r="F20" s="340" t="s">
        <v>77</v>
      </c>
      <c r="G20" s="216"/>
      <c r="H20" s="216" t="s">
        <v>26</v>
      </c>
      <c r="I20" s="217"/>
      <c r="J20" s="352" t="s">
        <v>341</v>
      </c>
      <c r="K20" s="353">
        <v>0.25</v>
      </c>
      <c r="L20" s="342">
        <v>0.13</v>
      </c>
      <c r="M20" s="358">
        <v>870480000</v>
      </c>
      <c r="N20" s="222">
        <f>638666000-29354000</f>
        <v>609312000</v>
      </c>
      <c r="O20" s="222">
        <v>501629120</v>
      </c>
      <c r="P20" s="222">
        <f>7571333+21633067+34860853</f>
        <v>64065253</v>
      </c>
      <c r="Q20" s="344">
        <f>132938600-105012300</f>
        <v>27926300</v>
      </c>
      <c r="R20" s="222">
        <v>25373300</v>
      </c>
      <c r="S20" s="345" t="s">
        <v>342</v>
      </c>
      <c r="T20" s="359" t="s">
        <v>343</v>
      </c>
      <c r="U20" s="222">
        <f t="shared" si="2"/>
        <v>609312000</v>
      </c>
      <c r="V20" s="222">
        <f t="shared" si="2"/>
        <v>501629120</v>
      </c>
      <c r="W20" s="225">
        <f>+V20/U20</f>
        <v>0.8232713617982249</v>
      </c>
      <c r="X20" s="226"/>
      <c r="Y20" s="226"/>
      <c r="Z20" s="225"/>
      <c r="AA20" s="226"/>
      <c r="AB20" s="226"/>
      <c r="AC20" s="225"/>
      <c r="AD20" s="226"/>
      <c r="AE20" s="226"/>
      <c r="AF20" s="225"/>
      <c r="AG20" s="226"/>
      <c r="AH20" s="226"/>
      <c r="AI20" s="225"/>
      <c r="AJ20" s="226"/>
      <c r="AK20" s="226"/>
      <c r="AL20" s="225"/>
      <c r="AM20" s="226"/>
      <c r="AN20" s="226"/>
      <c r="AO20" s="225"/>
      <c r="AP20" s="226"/>
      <c r="AQ20" s="226"/>
      <c r="AR20" s="225"/>
      <c r="AS20" s="226"/>
      <c r="AT20" s="226"/>
      <c r="AU20" s="225"/>
    </row>
    <row r="21" spans="1:47" s="308" customFormat="1" ht="15" outlineLevel="1">
      <c r="A21" s="310"/>
      <c r="B21" s="298"/>
      <c r="C21" s="299"/>
      <c r="D21" s="299">
        <v>2</v>
      </c>
      <c r="E21" s="299"/>
      <c r="F21" s="301"/>
      <c r="G21" s="301"/>
      <c r="H21" s="301"/>
      <c r="I21" s="301"/>
      <c r="J21" s="299"/>
      <c r="K21" s="299"/>
      <c r="L21" s="349"/>
      <c r="M21" s="305">
        <f aca="true" t="shared" si="3" ref="M21:R21">SUM(M17:M20)</f>
        <v>870480000</v>
      </c>
      <c r="N21" s="305">
        <f t="shared" si="3"/>
        <v>778846000</v>
      </c>
      <c r="O21" s="305">
        <f t="shared" si="3"/>
        <v>501629120</v>
      </c>
      <c r="P21" s="305">
        <f t="shared" si="3"/>
        <v>64065253</v>
      </c>
      <c r="Q21" s="305">
        <f t="shared" si="3"/>
        <v>161776134</v>
      </c>
      <c r="R21" s="305">
        <f t="shared" si="3"/>
        <v>149243367</v>
      </c>
      <c r="S21" s="350"/>
      <c r="T21" s="311"/>
      <c r="U21" s="305">
        <f>SUM(U17:U20)</f>
        <v>778846000</v>
      </c>
      <c r="V21" s="305">
        <f>SUM(V17:V20)</f>
        <v>501629120</v>
      </c>
      <c r="W21" s="305" t="e">
        <f>SUM(W17:W20)</f>
        <v>#DIV/0!</v>
      </c>
      <c r="X21" s="299"/>
      <c r="Y21" s="299"/>
      <c r="Z21" s="351"/>
      <c r="AA21" s="299"/>
      <c r="AB21" s="299"/>
      <c r="AC21" s="351"/>
      <c r="AD21" s="299"/>
      <c r="AE21" s="299"/>
      <c r="AF21" s="351"/>
      <c r="AG21" s="299"/>
      <c r="AH21" s="299"/>
      <c r="AI21" s="351"/>
      <c r="AJ21" s="299"/>
      <c r="AK21" s="299"/>
      <c r="AL21" s="351"/>
      <c r="AM21" s="299"/>
      <c r="AN21" s="299"/>
      <c r="AO21" s="351"/>
      <c r="AP21" s="299"/>
      <c r="AQ21" s="299"/>
      <c r="AR21" s="351"/>
      <c r="AS21" s="299"/>
      <c r="AT21" s="299"/>
      <c r="AU21" s="351"/>
    </row>
    <row r="22" spans="1:47" s="6" customFormat="1" ht="75.75" customHeight="1" outlineLevel="2">
      <c r="A22" s="213"/>
      <c r="B22" s="251" t="s">
        <v>264</v>
      </c>
      <c r="C22" s="214">
        <v>886</v>
      </c>
      <c r="D22" s="340" t="s">
        <v>46</v>
      </c>
      <c r="E22" s="214"/>
      <c r="F22" s="340" t="s">
        <v>56</v>
      </c>
      <c r="G22" s="216"/>
      <c r="H22" s="216" t="s">
        <v>26</v>
      </c>
      <c r="I22" s="217"/>
      <c r="J22" s="216" t="s">
        <v>344</v>
      </c>
      <c r="K22" s="341">
        <v>1</v>
      </c>
      <c r="L22" s="342">
        <f>+K22/12*7</f>
        <v>0.5833333333333333</v>
      </c>
      <c r="M22" s="343">
        <v>0</v>
      </c>
      <c r="N22" s="222">
        <v>0</v>
      </c>
      <c r="O22" s="222">
        <v>0</v>
      </c>
      <c r="P22" s="222">
        <v>0</v>
      </c>
      <c r="Q22" s="344">
        <v>0</v>
      </c>
      <c r="R22" s="222">
        <v>0</v>
      </c>
      <c r="S22" s="345" t="s">
        <v>345</v>
      </c>
      <c r="T22" s="224"/>
      <c r="U22" s="222">
        <f>+N22</f>
        <v>0</v>
      </c>
      <c r="V22" s="222">
        <f>+O22</f>
        <v>0</v>
      </c>
      <c r="W22" s="225" t="e">
        <f>+V22/U22</f>
        <v>#DIV/0!</v>
      </c>
      <c r="X22" s="226"/>
      <c r="Y22" s="226"/>
      <c r="Z22" s="225"/>
      <c r="AA22" s="226"/>
      <c r="AB22" s="226"/>
      <c r="AC22" s="225"/>
      <c r="AD22" s="226"/>
      <c r="AE22" s="226"/>
      <c r="AF22" s="225"/>
      <c r="AG22" s="226"/>
      <c r="AH22" s="226"/>
      <c r="AI22" s="225"/>
      <c r="AJ22" s="226"/>
      <c r="AK22" s="226"/>
      <c r="AL22" s="225"/>
      <c r="AM22" s="226"/>
      <c r="AN22" s="226"/>
      <c r="AO22" s="225"/>
      <c r="AP22" s="226"/>
      <c r="AQ22" s="226"/>
      <c r="AR22" s="225"/>
      <c r="AS22" s="226"/>
      <c r="AT22" s="226"/>
      <c r="AU22" s="225"/>
    </row>
    <row r="23" spans="1:47" s="6" customFormat="1" ht="102" customHeight="1" outlineLevel="2">
      <c r="A23" s="213"/>
      <c r="B23" s="251" t="s">
        <v>264</v>
      </c>
      <c r="C23" s="214">
        <v>886</v>
      </c>
      <c r="D23" s="340" t="s">
        <v>46</v>
      </c>
      <c r="E23" s="214"/>
      <c r="F23" s="340" t="s">
        <v>57</v>
      </c>
      <c r="G23" s="216"/>
      <c r="H23" s="216" t="s">
        <v>26</v>
      </c>
      <c r="I23" s="217"/>
      <c r="J23" s="216" t="s">
        <v>346</v>
      </c>
      <c r="K23" s="341">
        <v>1</v>
      </c>
      <c r="L23" s="342">
        <f>+K23/12*7</f>
        <v>0.5833333333333333</v>
      </c>
      <c r="M23" s="358">
        <v>2548412860</v>
      </c>
      <c r="N23" s="222">
        <v>3042983800</v>
      </c>
      <c r="O23" s="222">
        <v>2544649720</v>
      </c>
      <c r="P23" s="222">
        <f>197338605+157704300+209688102</f>
        <v>564731007</v>
      </c>
      <c r="Q23" s="344">
        <f>963832220-726858741</f>
        <v>236973479</v>
      </c>
      <c r="R23" s="222">
        <f>195795419+1665000</f>
        <v>197460419</v>
      </c>
      <c r="S23" s="345" t="s">
        <v>347</v>
      </c>
      <c r="T23" s="224"/>
      <c r="U23" s="222">
        <f>+N23</f>
        <v>3042983800</v>
      </c>
      <c r="V23" s="222">
        <f>+O23</f>
        <v>2544649720</v>
      </c>
      <c r="W23" s="225">
        <f>+V23/U23</f>
        <v>0.8362350532395211</v>
      </c>
      <c r="X23" s="226"/>
      <c r="Y23" s="226"/>
      <c r="Z23" s="225"/>
      <c r="AA23" s="226"/>
      <c r="AB23" s="226"/>
      <c r="AC23" s="225"/>
      <c r="AD23" s="226"/>
      <c r="AE23" s="226"/>
      <c r="AF23" s="225"/>
      <c r="AG23" s="226"/>
      <c r="AH23" s="226"/>
      <c r="AI23" s="225"/>
      <c r="AJ23" s="226"/>
      <c r="AK23" s="226"/>
      <c r="AL23" s="225"/>
      <c r="AM23" s="226"/>
      <c r="AN23" s="226"/>
      <c r="AO23" s="225"/>
      <c r="AP23" s="226"/>
      <c r="AQ23" s="226"/>
      <c r="AR23" s="225"/>
      <c r="AS23" s="226"/>
      <c r="AT23" s="226"/>
      <c r="AU23" s="225"/>
    </row>
    <row r="24" spans="1:47" s="308" customFormat="1" ht="15" outlineLevel="1">
      <c r="A24" s="310"/>
      <c r="B24" s="298"/>
      <c r="C24" s="299"/>
      <c r="D24" s="299">
        <v>3</v>
      </c>
      <c r="E24" s="299"/>
      <c r="F24" s="301"/>
      <c r="G24" s="301"/>
      <c r="H24" s="301"/>
      <c r="I24" s="301"/>
      <c r="J24" s="299"/>
      <c r="K24" s="299"/>
      <c r="L24" s="349"/>
      <c r="M24" s="305">
        <f aca="true" t="shared" si="4" ref="M24:R24">SUM(M22:M23)</f>
        <v>2548412860</v>
      </c>
      <c r="N24" s="305">
        <f t="shared" si="4"/>
        <v>3042983800</v>
      </c>
      <c r="O24" s="305">
        <f t="shared" si="4"/>
        <v>2544649720</v>
      </c>
      <c r="P24" s="305">
        <f t="shared" si="4"/>
        <v>564731007</v>
      </c>
      <c r="Q24" s="305">
        <f t="shared" si="4"/>
        <v>236973479</v>
      </c>
      <c r="R24" s="305">
        <f t="shared" si="4"/>
        <v>197460419</v>
      </c>
      <c r="S24" s="350"/>
      <c r="T24" s="311"/>
      <c r="U24" s="305">
        <f>SUM(U22:U23)</f>
        <v>3042983800</v>
      </c>
      <c r="V24" s="305">
        <f>SUM(V22:V23)</f>
        <v>2544649720</v>
      </c>
      <c r="W24" s="305" t="e">
        <f>SUM(W22:W23)</f>
        <v>#DIV/0!</v>
      </c>
      <c r="X24" s="299"/>
      <c r="Y24" s="299"/>
      <c r="Z24" s="351"/>
      <c r="AA24" s="299"/>
      <c r="AB24" s="299"/>
      <c r="AC24" s="351"/>
      <c r="AD24" s="299"/>
      <c r="AE24" s="299"/>
      <c r="AF24" s="351"/>
      <c r="AG24" s="299"/>
      <c r="AH24" s="299"/>
      <c r="AI24" s="351"/>
      <c r="AJ24" s="299"/>
      <c r="AK24" s="299"/>
      <c r="AL24" s="351"/>
      <c r="AM24" s="299"/>
      <c r="AN24" s="299"/>
      <c r="AO24" s="351"/>
      <c r="AP24" s="299"/>
      <c r="AQ24" s="299"/>
      <c r="AR24" s="351"/>
      <c r="AS24" s="299"/>
      <c r="AT24" s="299"/>
      <c r="AU24" s="351"/>
    </row>
    <row r="25" spans="1:47" s="6" customFormat="1" ht="45" customHeight="1" outlineLevel="1">
      <c r="A25" s="357"/>
      <c r="B25" s="216" t="s">
        <v>301</v>
      </c>
      <c r="C25" s="214">
        <v>886</v>
      </c>
      <c r="D25" s="340" t="s">
        <v>47</v>
      </c>
      <c r="E25" s="214"/>
      <c r="F25" s="340" t="s">
        <v>348</v>
      </c>
      <c r="G25" s="216"/>
      <c r="H25" s="216" t="s">
        <v>26</v>
      </c>
      <c r="I25" s="217"/>
      <c r="J25" s="216" t="s">
        <v>83</v>
      </c>
      <c r="K25" s="353">
        <v>1</v>
      </c>
      <c r="L25" s="342">
        <f>+K25/12*7</f>
        <v>0.5833333333333333</v>
      </c>
      <c r="M25" s="358">
        <v>82450000</v>
      </c>
      <c r="N25" s="222">
        <v>79152000</v>
      </c>
      <c r="O25" s="222">
        <v>79152000</v>
      </c>
      <c r="P25" s="222">
        <f>14511200+6596000+6596000</f>
        <v>27703200</v>
      </c>
      <c r="Q25" s="344">
        <f>65182500-58239300</f>
        <v>6943200</v>
      </c>
      <c r="R25" s="222">
        <f>6312000+631200</f>
        <v>6943200</v>
      </c>
      <c r="S25" s="345" t="s">
        <v>349</v>
      </c>
      <c r="T25" s="224"/>
      <c r="U25" s="222">
        <f aca="true" t="shared" si="5" ref="U25:V34">+N25</f>
        <v>79152000</v>
      </c>
      <c r="V25" s="222">
        <f t="shared" si="5"/>
        <v>79152000</v>
      </c>
      <c r="W25" s="225">
        <f aca="true" t="shared" si="6" ref="W25:W34">+V25/U25</f>
        <v>1</v>
      </c>
      <c r="X25" s="226"/>
      <c r="Y25" s="226"/>
      <c r="Z25" s="225"/>
      <c r="AA25" s="226"/>
      <c r="AB25" s="226"/>
      <c r="AC25" s="225"/>
      <c r="AD25" s="226"/>
      <c r="AE25" s="226"/>
      <c r="AF25" s="225"/>
      <c r="AG25" s="226"/>
      <c r="AH25" s="226"/>
      <c r="AI25" s="225"/>
      <c r="AJ25" s="226"/>
      <c r="AK25" s="226"/>
      <c r="AL25" s="225"/>
      <c r="AM25" s="226"/>
      <c r="AN25" s="226"/>
      <c r="AO25" s="225"/>
      <c r="AP25" s="226"/>
      <c r="AQ25" s="226"/>
      <c r="AR25" s="225"/>
      <c r="AS25" s="226"/>
      <c r="AT25" s="226"/>
      <c r="AU25" s="225"/>
    </row>
    <row r="26" spans="1:47" s="6" customFormat="1" ht="51" customHeight="1" outlineLevel="1">
      <c r="A26" s="357"/>
      <c r="B26" s="216" t="s">
        <v>301</v>
      </c>
      <c r="C26" s="214">
        <v>886</v>
      </c>
      <c r="D26" s="340" t="s">
        <v>47</v>
      </c>
      <c r="E26" s="214"/>
      <c r="F26" s="340" t="s">
        <v>59</v>
      </c>
      <c r="G26" s="216"/>
      <c r="H26" s="216" t="s">
        <v>26</v>
      </c>
      <c r="I26" s="217"/>
      <c r="J26" s="216" t="s">
        <v>84</v>
      </c>
      <c r="K26" s="59">
        <v>18</v>
      </c>
      <c r="L26" s="360">
        <v>18</v>
      </c>
      <c r="M26" s="358">
        <v>526830500</v>
      </c>
      <c r="N26" s="222">
        <v>506880500</v>
      </c>
      <c r="O26" s="222">
        <v>483660500</v>
      </c>
      <c r="P26" s="222">
        <f>63633267+45345400+42738000</f>
        <v>151716667</v>
      </c>
      <c r="Q26" s="344">
        <f>302002500-236731467</f>
        <v>65271033</v>
      </c>
      <c r="R26" s="222">
        <v>52380067</v>
      </c>
      <c r="S26" s="345" t="s">
        <v>350</v>
      </c>
      <c r="T26" s="224"/>
      <c r="U26" s="222">
        <f t="shared" si="5"/>
        <v>506880500</v>
      </c>
      <c r="V26" s="222">
        <f t="shared" si="5"/>
        <v>483660500</v>
      </c>
      <c r="W26" s="225">
        <f t="shared" si="6"/>
        <v>0.9541903860969203</v>
      </c>
      <c r="X26" s="226"/>
      <c r="Y26" s="226"/>
      <c r="Z26" s="225"/>
      <c r="AA26" s="226"/>
      <c r="AB26" s="226"/>
      <c r="AC26" s="225"/>
      <c r="AD26" s="226"/>
      <c r="AE26" s="226"/>
      <c r="AF26" s="225"/>
      <c r="AG26" s="226"/>
      <c r="AH26" s="226"/>
      <c r="AI26" s="225"/>
      <c r="AJ26" s="226"/>
      <c r="AK26" s="226"/>
      <c r="AL26" s="225"/>
      <c r="AM26" s="226"/>
      <c r="AN26" s="226"/>
      <c r="AO26" s="225"/>
      <c r="AP26" s="226"/>
      <c r="AQ26" s="226"/>
      <c r="AR26" s="225"/>
      <c r="AS26" s="226"/>
      <c r="AT26" s="226"/>
      <c r="AU26" s="225"/>
    </row>
    <row r="27" spans="1:47" s="6" customFormat="1" ht="61.5" customHeight="1" outlineLevel="1">
      <c r="A27" s="357"/>
      <c r="B27" s="216" t="s">
        <v>301</v>
      </c>
      <c r="C27" s="214">
        <v>886</v>
      </c>
      <c r="D27" s="340" t="s">
        <v>47</v>
      </c>
      <c r="E27" s="214"/>
      <c r="F27" s="340" t="s">
        <v>60</v>
      </c>
      <c r="G27" s="216"/>
      <c r="H27" s="216" t="s">
        <v>26</v>
      </c>
      <c r="I27" s="217"/>
      <c r="J27" s="216" t="s">
        <v>85</v>
      </c>
      <c r="K27" s="59">
        <v>170</v>
      </c>
      <c r="L27" s="361" t="s">
        <v>351</v>
      </c>
      <c r="M27" s="362">
        <v>169686860</v>
      </c>
      <c r="N27" s="222">
        <v>166916860</v>
      </c>
      <c r="O27" s="363">
        <v>166916860</v>
      </c>
      <c r="P27" s="363">
        <f>24102249+5540000+14273640</f>
        <v>43915889</v>
      </c>
      <c r="Q27" s="364">
        <f>49645500-42577500</f>
        <v>7068000</v>
      </c>
      <c r="R27" s="363">
        <f>5301000+1767000</f>
        <v>7068000</v>
      </c>
      <c r="S27" s="365" t="s">
        <v>352</v>
      </c>
      <c r="T27" s="224"/>
      <c r="U27" s="222">
        <f t="shared" si="5"/>
        <v>166916860</v>
      </c>
      <c r="V27" s="222">
        <f t="shared" si="5"/>
        <v>166916860</v>
      </c>
      <c r="W27" s="225">
        <f t="shared" si="6"/>
        <v>1</v>
      </c>
      <c r="X27" s="226"/>
      <c r="Y27" s="226"/>
      <c r="Z27" s="225"/>
      <c r="AA27" s="226"/>
      <c r="AB27" s="226"/>
      <c r="AC27" s="225"/>
      <c r="AD27" s="226"/>
      <c r="AE27" s="226"/>
      <c r="AF27" s="225"/>
      <c r="AG27" s="226"/>
      <c r="AH27" s="226"/>
      <c r="AI27" s="225"/>
      <c r="AJ27" s="226"/>
      <c r="AK27" s="226"/>
      <c r="AL27" s="225"/>
      <c r="AM27" s="226"/>
      <c r="AN27" s="226"/>
      <c r="AO27" s="225"/>
      <c r="AP27" s="226"/>
      <c r="AQ27" s="226"/>
      <c r="AR27" s="225"/>
      <c r="AS27" s="226"/>
      <c r="AT27" s="226"/>
      <c r="AU27" s="225"/>
    </row>
    <row r="28" spans="1:47" s="6" customFormat="1" ht="66.75" customHeight="1" outlineLevel="1">
      <c r="A28" s="357"/>
      <c r="B28" s="216" t="s">
        <v>301</v>
      </c>
      <c r="C28" s="214">
        <v>886</v>
      </c>
      <c r="D28" s="340" t="s">
        <v>47</v>
      </c>
      <c r="E28" s="214"/>
      <c r="F28" s="340" t="s">
        <v>61</v>
      </c>
      <c r="G28" s="216"/>
      <c r="H28" s="216" t="s">
        <v>26</v>
      </c>
      <c r="I28" s="217"/>
      <c r="J28" s="216" t="s">
        <v>353</v>
      </c>
      <c r="K28" s="353">
        <v>0.25</v>
      </c>
      <c r="L28" s="366">
        <f>+K28/12*7</f>
        <v>0.14583333333333331</v>
      </c>
      <c r="M28" s="358">
        <v>53521000</v>
      </c>
      <c r="N28" s="222">
        <v>60940000</v>
      </c>
      <c r="O28" s="222">
        <v>60940000</v>
      </c>
      <c r="P28" s="222">
        <f>5540000+5540000+5540000</f>
        <v>16620000</v>
      </c>
      <c r="Q28" s="344">
        <f>93908500-79020933</f>
        <v>14887567</v>
      </c>
      <c r="R28" s="222">
        <v>14887567</v>
      </c>
      <c r="S28" s="345" t="s">
        <v>354</v>
      </c>
      <c r="T28" s="367"/>
      <c r="U28" s="222">
        <f t="shared" si="5"/>
        <v>60940000</v>
      </c>
      <c r="V28" s="222">
        <f t="shared" si="5"/>
        <v>60940000</v>
      </c>
      <c r="W28" s="225">
        <f t="shared" si="6"/>
        <v>1</v>
      </c>
      <c r="X28" s="226"/>
      <c r="Y28" s="226"/>
      <c r="Z28" s="225"/>
      <c r="AA28" s="226"/>
      <c r="AB28" s="226"/>
      <c r="AC28" s="225"/>
      <c r="AD28" s="226"/>
      <c r="AE28" s="226"/>
      <c r="AF28" s="225"/>
      <c r="AG28" s="226"/>
      <c r="AH28" s="226"/>
      <c r="AI28" s="225"/>
      <c r="AJ28" s="226"/>
      <c r="AK28" s="226"/>
      <c r="AL28" s="225"/>
      <c r="AM28" s="226"/>
      <c r="AN28" s="226"/>
      <c r="AO28" s="225"/>
      <c r="AP28" s="226"/>
      <c r="AQ28" s="226"/>
      <c r="AR28" s="225"/>
      <c r="AS28" s="226"/>
      <c r="AT28" s="226"/>
      <c r="AU28" s="225"/>
    </row>
    <row r="29" spans="1:47" s="6" customFormat="1" ht="69" customHeight="1" outlineLevel="1">
      <c r="A29" s="357"/>
      <c r="B29" s="216" t="s">
        <v>301</v>
      </c>
      <c r="C29" s="214">
        <v>886</v>
      </c>
      <c r="D29" s="340" t="s">
        <v>47</v>
      </c>
      <c r="E29" s="214"/>
      <c r="F29" s="340" t="s">
        <v>355</v>
      </c>
      <c r="G29" s="216"/>
      <c r="H29" s="216" t="s">
        <v>26</v>
      </c>
      <c r="I29" s="217"/>
      <c r="J29" s="216" t="s">
        <v>356</v>
      </c>
      <c r="K29" s="353">
        <v>0.25</v>
      </c>
      <c r="L29" s="366">
        <f>+K29/12*7</f>
        <v>0.14583333333333331</v>
      </c>
      <c r="M29" s="358">
        <v>797636900</v>
      </c>
      <c r="N29" s="222">
        <v>941095400</v>
      </c>
      <c r="O29" s="222">
        <v>752255400</v>
      </c>
      <c r="P29" s="222">
        <v>154345974</v>
      </c>
      <c r="Q29" s="344">
        <f>826851973-580750983</f>
        <v>246100990</v>
      </c>
      <c r="R29" s="222">
        <f>162511080+36666667</f>
        <v>199177747</v>
      </c>
      <c r="S29" s="345" t="s">
        <v>357</v>
      </c>
      <c r="T29" s="224"/>
      <c r="U29" s="222">
        <f t="shared" si="5"/>
        <v>941095400</v>
      </c>
      <c r="V29" s="222">
        <f t="shared" si="5"/>
        <v>752255400</v>
      </c>
      <c r="W29" s="225">
        <f t="shared" si="6"/>
        <v>0.7993402156678271</v>
      </c>
      <c r="X29" s="226"/>
      <c r="Y29" s="226"/>
      <c r="Z29" s="225"/>
      <c r="AA29" s="226"/>
      <c r="AB29" s="226"/>
      <c r="AC29" s="225"/>
      <c r="AD29" s="226"/>
      <c r="AE29" s="226"/>
      <c r="AF29" s="225"/>
      <c r="AG29" s="226"/>
      <c r="AH29" s="226"/>
      <c r="AI29" s="225"/>
      <c r="AJ29" s="226"/>
      <c r="AK29" s="226"/>
      <c r="AL29" s="225"/>
      <c r="AM29" s="226"/>
      <c r="AN29" s="226"/>
      <c r="AO29" s="225"/>
      <c r="AP29" s="226"/>
      <c r="AQ29" s="226"/>
      <c r="AR29" s="225"/>
      <c r="AS29" s="226"/>
      <c r="AT29" s="226"/>
      <c r="AU29" s="225"/>
    </row>
    <row r="30" spans="1:47" s="6" customFormat="1" ht="54.75" customHeight="1" outlineLevel="1">
      <c r="A30" s="357"/>
      <c r="B30" s="216" t="s">
        <v>301</v>
      </c>
      <c r="C30" s="214">
        <v>886</v>
      </c>
      <c r="D30" s="340" t="s">
        <v>47</v>
      </c>
      <c r="E30" s="214"/>
      <c r="F30" s="340" t="s">
        <v>63</v>
      </c>
      <c r="G30" s="216"/>
      <c r="H30" s="216" t="s">
        <v>26</v>
      </c>
      <c r="I30" s="217"/>
      <c r="J30" s="216" t="s">
        <v>358</v>
      </c>
      <c r="K30" s="353">
        <v>0.3</v>
      </c>
      <c r="L30" s="366">
        <f>+K30/12*7</f>
        <v>0.175</v>
      </c>
      <c r="M30" s="358">
        <v>0</v>
      </c>
      <c r="N30" s="222">
        <v>0</v>
      </c>
      <c r="O30" s="222">
        <v>0</v>
      </c>
      <c r="P30" s="222">
        <v>0</v>
      </c>
      <c r="Q30" s="344">
        <f>780203260-625899252</f>
        <v>154304008</v>
      </c>
      <c r="R30" s="222">
        <f>75901000+14177900+52853001</f>
        <v>142931901</v>
      </c>
      <c r="S30" s="345" t="s">
        <v>359</v>
      </c>
      <c r="T30" s="224"/>
      <c r="U30" s="222">
        <f t="shared" si="5"/>
        <v>0</v>
      </c>
      <c r="V30" s="222">
        <f t="shared" si="5"/>
        <v>0</v>
      </c>
      <c r="W30" s="225" t="e">
        <f t="shared" si="6"/>
        <v>#DIV/0!</v>
      </c>
      <c r="X30" s="226"/>
      <c r="Y30" s="226"/>
      <c r="Z30" s="225"/>
      <c r="AA30" s="226"/>
      <c r="AB30" s="226"/>
      <c r="AC30" s="225"/>
      <c r="AD30" s="226"/>
      <c r="AE30" s="226"/>
      <c r="AF30" s="225"/>
      <c r="AG30" s="226"/>
      <c r="AH30" s="226"/>
      <c r="AI30" s="225"/>
      <c r="AJ30" s="226"/>
      <c r="AK30" s="226"/>
      <c r="AL30" s="225"/>
      <c r="AM30" s="226"/>
      <c r="AN30" s="226"/>
      <c r="AO30" s="225"/>
      <c r="AP30" s="226"/>
      <c r="AQ30" s="226"/>
      <c r="AR30" s="225"/>
      <c r="AS30" s="226"/>
      <c r="AT30" s="226"/>
      <c r="AU30" s="225"/>
    </row>
    <row r="31" spans="1:47" s="6" customFormat="1" ht="62.25" customHeight="1" outlineLevel="1">
      <c r="A31" s="357"/>
      <c r="B31" s="216" t="s">
        <v>301</v>
      </c>
      <c r="C31" s="214">
        <v>886</v>
      </c>
      <c r="D31" s="340" t="s">
        <v>47</v>
      </c>
      <c r="E31" s="214"/>
      <c r="F31" s="340" t="s">
        <v>64</v>
      </c>
      <c r="G31" s="216"/>
      <c r="H31" s="216" t="s">
        <v>26</v>
      </c>
      <c r="I31" s="217"/>
      <c r="J31" s="216" t="s">
        <v>89</v>
      </c>
      <c r="K31" s="368">
        <v>1</v>
      </c>
      <c r="L31" s="360">
        <v>0</v>
      </c>
      <c r="M31" s="358">
        <v>90348000</v>
      </c>
      <c r="N31" s="222">
        <v>90348000</v>
      </c>
      <c r="O31" s="222">
        <v>90348000</v>
      </c>
      <c r="P31" s="222">
        <f>16061867+7529000+7529000</f>
        <v>31119867</v>
      </c>
      <c r="Q31" s="344">
        <f>153463000-131780400</f>
        <v>21682600</v>
      </c>
      <c r="R31" s="222">
        <f>15006000+6676600</f>
        <v>21682600</v>
      </c>
      <c r="S31" s="345" t="s">
        <v>360</v>
      </c>
      <c r="T31" s="224"/>
      <c r="U31" s="222">
        <f t="shared" si="5"/>
        <v>90348000</v>
      </c>
      <c r="V31" s="222">
        <f t="shared" si="5"/>
        <v>90348000</v>
      </c>
      <c r="W31" s="225">
        <f t="shared" si="6"/>
        <v>1</v>
      </c>
      <c r="X31" s="226"/>
      <c r="Y31" s="226"/>
      <c r="Z31" s="225"/>
      <c r="AA31" s="226"/>
      <c r="AB31" s="226"/>
      <c r="AC31" s="225"/>
      <c r="AD31" s="226"/>
      <c r="AE31" s="226"/>
      <c r="AF31" s="225"/>
      <c r="AG31" s="226"/>
      <c r="AH31" s="226"/>
      <c r="AI31" s="225"/>
      <c r="AJ31" s="226"/>
      <c r="AK31" s="226"/>
      <c r="AL31" s="225"/>
      <c r="AM31" s="226"/>
      <c r="AN31" s="226"/>
      <c r="AO31" s="225"/>
      <c r="AP31" s="226"/>
      <c r="AQ31" s="226"/>
      <c r="AR31" s="225"/>
      <c r="AS31" s="226"/>
      <c r="AT31" s="226"/>
      <c r="AU31" s="225"/>
    </row>
    <row r="32" spans="1:47" s="6" customFormat="1" ht="71.25" customHeight="1" outlineLevel="1">
      <c r="A32" s="357"/>
      <c r="B32" s="216" t="s">
        <v>301</v>
      </c>
      <c r="C32" s="214">
        <v>886</v>
      </c>
      <c r="D32" s="340" t="s">
        <v>47</v>
      </c>
      <c r="E32" s="214"/>
      <c r="F32" s="340" t="s">
        <v>65</v>
      </c>
      <c r="G32" s="216"/>
      <c r="H32" s="216" t="s">
        <v>26</v>
      </c>
      <c r="I32" s="217"/>
      <c r="J32" s="216" t="s">
        <v>89</v>
      </c>
      <c r="K32" s="368">
        <v>1</v>
      </c>
      <c r="L32" s="360">
        <v>0</v>
      </c>
      <c r="M32" s="358">
        <v>79152000</v>
      </c>
      <c r="N32" s="222">
        <v>79152000</v>
      </c>
      <c r="O32" s="222">
        <v>79152000</v>
      </c>
      <c r="P32" s="222">
        <f>9454267+6596000+6596000</f>
        <v>22646267</v>
      </c>
      <c r="Q32" s="344">
        <f>62148000-50786400</f>
        <v>11361600</v>
      </c>
      <c r="R32" s="222">
        <f>6312000+5049600</f>
        <v>11361600</v>
      </c>
      <c r="S32" s="345" t="s">
        <v>361</v>
      </c>
      <c r="T32" s="346"/>
      <c r="U32" s="222">
        <f t="shared" si="5"/>
        <v>79152000</v>
      </c>
      <c r="V32" s="222">
        <f t="shared" si="5"/>
        <v>79152000</v>
      </c>
      <c r="W32" s="225">
        <f t="shared" si="6"/>
        <v>1</v>
      </c>
      <c r="X32" s="226"/>
      <c r="Y32" s="226"/>
      <c r="Z32" s="225"/>
      <c r="AA32" s="226"/>
      <c r="AB32" s="226"/>
      <c r="AC32" s="225"/>
      <c r="AD32" s="226"/>
      <c r="AE32" s="226"/>
      <c r="AF32" s="225"/>
      <c r="AG32" s="226"/>
      <c r="AH32" s="226"/>
      <c r="AI32" s="225"/>
      <c r="AJ32" s="226"/>
      <c r="AK32" s="226"/>
      <c r="AL32" s="225"/>
      <c r="AM32" s="226"/>
      <c r="AN32" s="226"/>
      <c r="AO32" s="225"/>
      <c r="AP32" s="226"/>
      <c r="AQ32" s="226"/>
      <c r="AR32" s="225"/>
      <c r="AS32" s="226"/>
      <c r="AT32" s="226"/>
      <c r="AU32" s="225"/>
    </row>
    <row r="33" spans="1:47" s="6" customFormat="1" ht="87.75" customHeight="1" outlineLevel="1">
      <c r="A33" s="357"/>
      <c r="B33" s="216" t="s">
        <v>301</v>
      </c>
      <c r="C33" s="214">
        <v>886</v>
      </c>
      <c r="D33" s="340" t="s">
        <v>47</v>
      </c>
      <c r="E33" s="214"/>
      <c r="F33" s="340" t="s">
        <v>362</v>
      </c>
      <c r="G33" s="216"/>
      <c r="H33" s="216" t="s">
        <v>26</v>
      </c>
      <c r="I33" s="217"/>
      <c r="J33" s="216" t="s">
        <v>90</v>
      </c>
      <c r="K33" s="368">
        <v>128</v>
      </c>
      <c r="L33" s="360">
        <f>54+16</f>
        <v>70</v>
      </c>
      <c r="M33" s="358">
        <v>602314750</v>
      </c>
      <c r="N33" s="222">
        <v>581832400</v>
      </c>
      <c r="O33" s="222">
        <v>522306000</v>
      </c>
      <c r="P33" s="222">
        <f>24639367+32269433+28003000</f>
        <v>84911800</v>
      </c>
      <c r="Q33" s="344">
        <f>515147000-375060334</f>
        <v>140086666</v>
      </c>
      <c r="R33" s="222">
        <f>40619500+48335433+14886067</f>
        <v>103841000</v>
      </c>
      <c r="S33" s="345" t="s">
        <v>363</v>
      </c>
      <c r="T33" s="346"/>
      <c r="U33" s="222">
        <f t="shared" si="5"/>
        <v>581832400</v>
      </c>
      <c r="V33" s="222">
        <f t="shared" si="5"/>
        <v>522306000</v>
      </c>
      <c r="W33" s="225">
        <f t="shared" si="6"/>
        <v>0.8976915001639647</v>
      </c>
      <c r="X33" s="226"/>
      <c r="Y33" s="226"/>
      <c r="Z33" s="225"/>
      <c r="AA33" s="226"/>
      <c r="AB33" s="226"/>
      <c r="AC33" s="225"/>
      <c r="AD33" s="226"/>
      <c r="AE33" s="226"/>
      <c r="AF33" s="225"/>
      <c r="AG33" s="226"/>
      <c r="AH33" s="226"/>
      <c r="AI33" s="225"/>
      <c r="AJ33" s="226"/>
      <c r="AK33" s="226"/>
      <c r="AL33" s="225"/>
      <c r="AM33" s="226"/>
      <c r="AN33" s="226"/>
      <c r="AO33" s="225"/>
      <c r="AP33" s="226"/>
      <c r="AQ33" s="226"/>
      <c r="AR33" s="225"/>
      <c r="AS33" s="226"/>
      <c r="AT33" s="226"/>
      <c r="AU33" s="225"/>
    </row>
    <row r="34" spans="1:47" s="6" customFormat="1" ht="90.75" customHeight="1" outlineLevel="1">
      <c r="A34" s="357"/>
      <c r="B34" s="216" t="s">
        <v>301</v>
      </c>
      <c r="C34" s="214">
        <v>886</v>
      </c>
      <c r="D34" s="340" t="s">
        <v>47</v>
      </c>
      <c r="E34" s="214"/>
      <c r="F34" s="340" t="s">
        <v>67</v>
      </c>
      <c r="G34" s="216"/>
      <c r="H34" s="216" t="s">
        <v>26</v>
      </c>
      <c r="I34" s="217"/>
      <c r="J34" s="216" t="s">
        <v>91</v>
      </c>
      <c r="K34" s="368">
        <v>12</v>
      </c>
      <c r="L34" s="360">
        <v>7</v>
      </c>
      <c r="M34" s="358">
        <v>826660130</v>
      </c>
      <c r="N34" s="369">
        <f>450814540-100000000</f>
        <v>350814540</v>
      </c>
      <c r="O34" s="369">
        <f>438868320-5379000</f>
        <v>433489320</v>
      </c>
      <c r="P34" s="370">
        <f>85106602+34140307+35734360-4654000-1000000</f>
        <v>149327269</v>
      </c>
      <c r="Q34" s="344">
        <f>216701180-163491620</f>
        <v>53209560</v>
      </c>
      <c r="R34" s="222">
        <v>53209760</v>
      </c>
      <c r="S34" s="345" t="s">
        <v>364</v>
      </c>
      <c r="T34" s="224"/>
      <c r="U34" s="222">
        <f t="shared" si="5"/>
        <v>350814540</v>
      </c>
      <c r="V34" s="222">
        <f t="shared" si="5"/>
        <v>433489320</v>
      </c>
      <c r="W34" s="225">
        <f t="shared" si="6"/>
        <v>1.2356652036144227</v>
      </c>
      <c r="X34" s="226"/>
      <c r="Y34" s="226"/>
      <c r="Z34" s="225"/>
      <c r="AA34" s="226"/>
      <c r="AB34" s="226"/>
      <c r="AC34" s="225"/>
      <c r="AD34" s="226"/>
      <c r="AE34" s="226"/>
      <c r="AF34" s="225"/>
      <c r="AG34" s="226"/>
      <c r="AH34" s="226"/>
      <c r="AI34" s="225"/>
      <c r="AJ34" s="226"/>
      <c r="AK34" s="226"/>
      <c r="AL34" s="225"/>
      <c r="AM34" s="226"/>
      <c r="AN34" s="226"/>
      <c r="AO34" s="225"/>
      <c r="AP34" s="226"/>
      <c r="AQ34" s="226"/>
      <c r="AR34" s="225"/>
      <c r="AS34" s="226"/>
      <c r="AT34" s="226"/>
      <c r="AU34" s="225"/>
    </row>
    <row r="35" spans="1:47" s="6" customFormat="1" ht="15" hidden="1" outlineLevel="1">
      <c r="A35" s="371"/>
      <c r="B35" s="372"/>
      <c r="C35" s="373"/>
      <c r="D35" s="373">
        <v>4</v>
      </c>
      <c r="E35" s="373"/>
      <c r="F35" s="374"/>
      <c r="G35" s="374"/>
      <c r="H35" s="374"/>
      <c r="I35" s="374"/>
      <c r="J35" s="373"/>
      <c r="K35" s="373"/>
      <c r="L35" s="375"/>
      <c r="M35" s="376">
        <f aca="true" t="shared" si="7" ref="M35:R35">SUM(M25:M34)</f>
        <v>3228600140</v>
      </c>
      <c r="N35" s="376">
        <f t="shared" si="7"/>
        <v>2857131700</v>
      </c>
      <c r="O35" s="376">
        <f t="shared" si="7"/>
        <v>2668220080</v>
      </c>
      <c r="P35" s="376">
        <f t="shared" si="7"/>
        <v>682306933</v>
      </c>
      <c r="Q35" s="305">
        <f t="shared" si="7"/>
        <v>720915224</v>
      </c>
      <c r="R35" s="305">
        <f t="shared" si="7"/>
        <v>613483442</v>
      </c>
      <c r="S35" s="377"/>
      <c r="T35" s="378"/>
      <c r="U35" s="305">
        <f>SUM(U25:U34)</f>
        <v>2857131700</v>
      </c>
      <c r="V35" s="305">
        <f>SUM(V25:V34)</f>
        <v>2668220080</v>
      </c>
      <c r="W35" s="305" t="e">
        <f>SUM(W25:W34)</f>
        <v>#DIV/0!</v>
      </c>
      <c r="X35" s="373"/>
      <c r="Y35" s="373"/>
      <c r="Z35" s="379"/>
      <c r="AA35" s="373"/>
      <c r="AB35" s="373"/>
      <c r="AC35" s="379"/>
      <c r="AD35" s="373"/>
      <c r="AE35" s="373"/>
      <c r="AF35" s="379"/>
      <c r="AG35" s="373"/>
      <c r="AH35" s="373"/>
      <c r="AI35" s="379"/>
      <c r="AJ35" s="373"/>
      <c r="AK35" s="373"/>
      <c r="AL35" s="379"/>
      <c r="AM35" s="373"/>
      <c r="AN35" s="373"/>
      <c r="AO35" s="379"/>
      <c r="AP35" s="373"/>
      <c r="AQ35" s="373"/>
      <c r="AR35" s="379"/>
      <c r="AS35" s="373"/>
      <c r="AT35" s="373"/>
      <c r="AU35" s="379"/>
    </row>
    <row r="36" spans="14:22" ht="15" collapsed="1">
      <c r="N36" s="243"/>
      <c r="R36" s="242"/>
      <c r="U36" s="242"/>
      <c r="V36" s="242"/>
    </row>
    <row r="37" spans="14:18" ht="15">
      <c r="N37" s="246"/>
      <c r="R37" s="245"/>
    </row>
    <row r="38" ht="15"/>
    <row r="39" ht="15"/>
    <row r="40" ht="15">
      <c r="N40" s="246"/>
    </row>
    <row r="41" ht="15">
      <c r="N41" s="246"/>
    </row>
    <row r="42" ht="15">
      <c r="N42" s="246"/>
    </row>
    <row r="43" ht="15">
      <c r="N43" s="246"/>
    </row>
    <row r="44" ht="15">
      <c r="N44" s="246"/>
    </row>
    <row r="45" ht="15">
      <c r="N45" s="246"/>
    </row>
    <row r="48" ht="15"/>
    <row r="49" ht="15"/>
    <row r="50" ht="15"/>
    <row r="51" ht="15"/>
    <row r="63" ht="15"/>
    <row r="64" ht="15"/>
    <row r="65" ht="15"/>
    <row r="79" ht="15"/>
    <row r="80" ht="15"/>
    <row r="81" ht="15"/>
    <row r="82" ht="15"/>
    <row r="83" ht="15"/>
    <row r="84" ht="15"/>
    <row r="93" ht="15"/>
    <row r="94" ht="15"/>
    <row r="95" ht="15"/>
    <row r="96" ht="15"/>
    <row r="97" ht="15"/>
    <row r="108" ht="15"/>
    <row r="109" ht="15"/>
    <row r="110" ht="15"/>
    <row r="115" ht="15"/>
    <row r="116" ht="15"/>
    <row r="117" ht="15"/>
    <row r="130" ht="15"/>
    <row r="131" ht="15"/>
    <row r="132" ht="15"/>
    <row r="140" ht="15"/>
    <row r="141" ht="15"/>
    <row r="142" ht="15"/>
    <row r="143" ht="15"/>
    <row r="162" ht="15"/>
    <row r="163" ht="15"/>
    <row r="164" ht="15"/>
    <row r="165" ht="15"/>
    <row r="173" ht="15"/>
    <row r="174" ht="15"/>
    <row r="175" ht="15"/>
    <row r="189" ht="15"/>
    <row r="190" ht="15"/>
    <row r="191" ht="15"/>
    <row r="202" ht="15"/>
    <row r="203" ht="15"/>
    <row r="204" ht="15"/>
    <row r="205" ht="15"/>
  </sheetData>
  <sheetProtection/>
  <mergeCells count="31">
    <mergeCell ref="A1:C8"/>
    <mergeCell ref="D1:I8"/>
    <mergeCell ref="J1:M8"/>
    <mergeCell ref="N1:O8"/>
    <mergeCell ref="P1:R8"/>
    <mergeCell ref="S1:AA8"/>
    <mergeCell ref="AB1:AE8"/>
    <mergeCell ref="AH1:AJ8"/>
    <mergeCell ref="AK1:AR8"/>
    <mergeCell ref="AS1:AV8"/>
    <mergeCell ref="AW1:AY8"/>
    <mergeCell ref="B11:B12"/>
    <mergeCell ref="C11:C12"/>
    <mergeCell ref="E11:E12"/>
    <mergeCell ref="F11:F12"/>
    <mergeCell ref="G11:I11"/>
    <mergeCell ref="K11:L11"/>
    <mergeCell ref="M11:N11"/>
    <mergeCell ref="O11:P11"/>
    <mergeCell ref="Q11:R11"/>
    <mergeCell ref="S11:S12"/>
    <mergeCell ref="T11:T12"/>
    <mergeCell ref="AM11:AO11"/>
    <mergeCell ref="AP11:AR11"/>
    <mergeCell ref="AS11:AU11"/>
    <mergeCell ref="U11:W11"/>
    <mergeCell ref="X11:Z11"/>
    <mergeCell ref="AA11:AC11"/>
    <mergeCell ref="AD11:AF11"/>
    <mergeCell ref="AG11:AI11"/>
    <mergeCell ref="AJ11:AL11"/>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Hoja4">
    <tabColor rgb="FFFFC000"/>
  </sheetPr>
  <dimension ref="A1:CB316"/>
  <sheetViews>
    <sheetView showGridLines="0" zoomScalePageLayoutView="0" workbookViewId="0" topLeftCell="H9">
      <selection activeCell="U19" sqref="U19:U39"/>
    </sheetView>
  </sheetViews>
  <sheetFormatPr defaultColWidth="11.421875" defaultRowHeight="15"/>
  <cols>
    <col min="1" max="1" width="5.140625" style="156" hidden="1" customWidth="1"/>
    <col min="2" max="2" width="5.421875" style="156" hidden="1" customWidth="1"/>
    <col min="3" max="3" width="4.421875" style="156" hidden="1" customWidth="1"/>
    <col min="4" max="4" width="7.421875" style="156" hidden="1" customWidth="1"/>
    <col min="5" max="5" width="6.8515625" style="156" hidden="1" customWidth="1"/>
    <col min="6" max="6" width="7.8515625" style="156" hidden="1" customWidth="1"/>
    <col min="7" max="7" width="8.7109375" style="156" hidden="1" customWidth="1"/>
    <col min="8" max="8" width="9.28125" style="157" customWidth="1"/>
    <col min="9" max="9" width="26.57421875" style="157" customWidth="1"/>
    <col min="10" max="10" width="6.28125" style="157" customWidth="1"/>
    <col min="11" max="12" width="5.57421875" style="157" customWidth="1"/>
    <col min="13" max="14" width="7.7109375" style="157" customWidth="1"/>
    <col min="15" max="15" width="11.7109375" style="157" customWidth="1"/>
    <col min="16" max="16" width="12.57421875" style="157" customWidth="1"/>
    <col min="17" max="17" width="16.28125" style="156" customWidth="1"/>
    <col min="18" max="18" width="15.57421875" style="156" bestFit="1" customWidth="1"/>
    <col min="19" max="19" width="14.7109375" style="156" customWidth="1"/>
    <col min="20" max="20" width="14.00390625" style="156" customWidth="1"/>
    <col min="21" max="22" width="14.140625" style="156" customWidth="1"/>
    <col min="23" max="23" width="47.00390625" style="156" customWidth="1"/>
    <col min="24" max="24" width="46.421875" style="156" customWidth="1"/>
    <col min="25" max="25" width="45.28125" style="156" customWidth="1"/>
    <col min="26" max="26" width="36.421875" style="156" customWidth="1"/>
    <col min="27" max="27" width="37.7109375" style="156" customWidth="1"/>
    <col min="28" max="28" width="35.28125" style="156" customWidth="1"/>
    <col min="29" max="44" width="10.7109375" style="156" customWidth="1"/>
    <col min="45" max="46" width="0" style="156" hidden="1" customWidth="1"/>
    <col min="47" max="47" width="15.140625" style="156" hidden="1" customWidth="1"/>
    <col min="48" max="48" width="4.57421875" style="156" hidden="1" customWidth="1"/>
    <col min="49" max="49" width="14.140625" style="156" hidden="1" customWidth="1"/>
    <col min="50" max="50" width="12.57421875" style="156" hidden="1" customWidth="1"/>
    <col min="51" max="51" width="13.28125" style="156" hidden="1" customWidth="1"/>
    <col min="52" max="52" width="12.57421875" style="156" hidden="1" customWidth="1"/>
    <col min="53" max="53" width="0" style="156" hidden="1" customWidth="1"/>
    <col min="54" max="54" width="17.00390625" style="156" hidden="1" customWidth="1"/>
    <col min="55" max="55" width="14.8515625" style="156" hidden="1" customWidth="1"/>
    <col min="56" max="56" width="14.421875" style="156" hidden="1" customWidth="1"/>
    <col min="57" max="57" width="18.00390625" style="156" hidden="1" customWidth="1"/>
    <col min="58" max="59" width="14.00390625" style="156" hidden="1" customWidth="1"/>
    <col min="60" max="62" width="0" style="156" hidden="1" customWidth="1"/>
    <col min="63" max="80" width="11.421875" style="157" customWidth="1"/>
    <col min="81" max="16384" width="11.421875" style="156" customWidth="1"/>
  </cols>
  <sheetData>
    <row r="1" spans="1:44" s="153" customFormat="1" ht="14.25" customHeight="1">
      <c r="A1" s="479"/>
      <c r="B1" s="480"/>
      <c r="C1" s="480"/>
      <c r="D1" s="481"/>
      <c r="E1" s="488" t="s">
        <v>159</v>
      </c>
      <c r="F1" s="489"/>
      <c r="G1" s="489"/>
      <c r="H1" s="489"/>
      <c r="I1" s="489"/>
      <c r="J1" s="489"/>
      <c r="K1" s="489"/>
      <c r="L1" s="489"/>
      <c r="M1" s="489"/>
      <c r="N1" s="490"/>
      <c r="O1" s="457" t="s">
        <v>160</v>
      </c>
      <c r="P1" s="458"/>
      <c r="Q1" s="458"/>
      <c r="R1" s="459"/>
      <c r="S1" s="466"/>
      <c r="T1" s="467"/>
      <c r="U1" s="467"/>
      <c r="V1" s="152"/>
      <c r="W1" s="466"/>
      <c r="X1" s="467"/>
      <c r="Y1" s="497"/>
      <c r="Z1" s="500" t="s">
        <v>161</v>
      </c>
      <c r="AA1" s="501"/>
      <c r="AB1" s="501"/>
      <c r="AC1" s="501"/>
      <c r="AD1" s="501"/>
      <c r="AE1" s="501"/>
      <c r="AF1" s="501"/>
      <c r="AG1" s="501"/>
      <c r="AH1" s="501"/>
      <c r="AI1" s="501"/>
      <c r="AJ1" s="502"/>
      <c r="AK1" s="457" t="s">
        <v>160</v>
      </c>
      <c r="AL1" s="458"/>
      <c r="AM1" s="458"/>
      <c r="AN1" s="459"/>
      <c r="AO1" s="466"/>
      <c r="AP1" s="467"/>
      <c r="AQ1" s="467"/>
      <c r="AR1" s="152"/>
    </row>
    <row r="2" spans="1:44" s="153" customFormat="1" ht="15" customHeight="1">
      <c r="A2" s="482"/>
      <c r="B2" s="483"/>
      <c r="C2" s="483"/>
      <c r="D2" s="484"/>
      <c r="E2" s="491"/>
      <c r="F2" s="492"/>
      <c r="G2" s="492"/>
      <c r="H2" s="492"/>
      <c r="I2" s="492"/>
      <c r="J2" s="492"/>
      <c r="K2" s="492"/>
      <c r="L2" s="492"/>
      <c r="M2" s="492"/>
      <c r="N2" s="493"/>
      <c r="O2" s="460"/>
      <c r="P2" s="461"/>
      <c r="Q2" s="461"/>
      <c r="R2" s="462"/>
      <c r="S2" s="468"/>
      <c r="T2" s="469"/>
      <c r="U2" s="469"/>
      <c r="V2" s="154"/>
      <c r="W2" s="468"/>
      <c r="X2" s="469"/>
      <c r="Y2" s="498"/>
      <c r="Z2" s="503"/>
      <c r="AA2" s="504"/>
      <c r="AB2" s="504"/>
      <c r="AC2" s="504"/>
      <c r="AD2" s="504"/>
      <c r="AE2" s="504"/>
      <c r="AF2" s="504"/>
      <c r="AG2" s="504"/>
      <c r="AH2" s="504"/>
      <c r="AI2" s="504"/>
      <c r="AJ2" s="505"/>
      <c r="AK2" s="460"/>
      <c r="AL2" s="461"/>
      <c r="AM2" s="461"/>
      <c r="AN2" s="462"/>
      <c r="AO2" s="468"/>
      <c r="AP2" s="469"/>
      <c r="AQ2" s="469"/>
      <c r="AR2" s="154"/>
    </row>
    <row r="3" spans="1:44" s="153" customFormat="1" ht="15" customHeight="1">
      <c r="A3" s="482"/>
      <c r="B3" s="483"/>
      <c r="C3" s="483"/>
      <c r="D3" s="484"/>
      <c r="E3" s="491"/>
      <c r="F3" s="492"/>
      <c r="G3" s="492"/>
      <c r="H3" s="492"/>
      <c r="I3" s="492"/>
      <c r="J3" s="492"/>
      <c r="K3" s="492"/>
      <c r="L3" s="492"/>
      <c r="M3" s="492"/>
      <c r="N3" s="493"/>
      <c r="O3" s="460"/>
      <c r="P3" s="461"/>
      <c r="Q3" s="461"/>
      <c r="R3" s="462"/>
      <c r="S3" s="468"/>
      <c r="T3" s="469"/>
      <c r="U3" s="469"/>
      <c r="V3" s="154"/>
      <c r="W3" s="468"/>
      <c r="X3" s="469"/>
      <c r="Y3" s="498"/>
      <c r="Z3" s="503"/>
      <c r="AA3" s="504"/>
      <c r="AB3" s="504"/>
      <c r="AC3" s="504"/>
      <c r="AD3" s="504"/>
      <c r="AE3" s="504"/>
      <c r="AF3" s="504"/>
      <c r="AG3" s="504"/>
      <c r="AH3" s="504"/>
      <c r="AI3" s="504"/>
      <c r="AJ3" s="505"/>
      <c r="AK3" s="460"/>
      <c r="AL3" s="461"/>
      <c r="AM3" s="461"/>
      <c r="AN3" s="462"/>
      <c r="AO3" s="468"/>
      <c r="AP3" s="469"/>
      <c r="AQ3" s="469"/>
      <c r="AR3" s="154"/>
    </row>
    <row r="4" spans="1:44" s="153" customFormat="1" ht="15" customHeight="1">
      <c r="A4" s="482"/>
      <c r="B4" s="483"/>
      <c r="C4" s="483"/>
      <c r="D4" s="484"/>
      <c r="E4" s="491"/>
      <c r="F4" s="492"/>
      <c r="G4" s="492"/>
      <c r="H4" s="492"/>
      <c r="I4" s="492"/>
      <c r="J4" s="492"/>
      <c r="K4" s="492"/>
      <c r="L4" s="492"/>
      <c r="M4" s="492"/>
      <c r="N4" s="493"/>
      <c r="O4" s="460"/>
      <c r="P4" s="461"/>
      <c r="Q4" s="461"/>
      <c r="R4" s="462"/>
      <c r="S4" s="468"/>
      <c r="T4" s="469"/>
      <c r="U4" s="469"/>
      <c r="V4" s="154"/>
      <c r="W4" s="468"/>
      <c r="X4" s="469"/>
      <c r="Y4" s="498"/>
      <c r="Z4" s="503"/>
      <c r="AA4" s="504"/>
      <c r="AB4" s="504"/>
      <c r="AC4" s="504"/>
      <c r="AD4" s="504"/>
      <c r="AE4" s="504"/>
      <c r="AF4" s="504"/>
      <c r="AG4" s="504"/>
      <c r="AH4" s="504"/>
      <c r="AI4" s="504"/>
      <c r="AJ4" s="505"/>
      <c r="AK4" s="460"/>
      <c r="AL4" s="461"/>
      <c r="AM4" s="461"/>
      <c r="AN4" s="462"/>
      <c r="AO4" s="468"/>
      <c r="AP4" s="469"/>
      <c r="AQ4" s="469"/>
      <c r="AR4" s="154"/>
    </row>
    <row r="5" spans="1:44" s="153" customFormat="1" ht="15" customHeight="1">
      <c r="A5" s="482"/>
      <c r="B5" s="483"/>
      <c r="C5" s="483"/>
      <c r="D5" s="484"/>
      <c r="E5" s="491"/>
      <c r="F5" s="492"/>
      <c r="G5" s="492"/>
      <c r="H5" s="492"/>
      <c r="I5" s="492"/>
      <c r="J5" s="492"/>
      <c r="K5" s="492"/>
      <c r="L5" s="492"/>
      <c r="M5" s="492"/>
      <c r="N5" s="493"/>
      <c r="O5" s="460"/>
      <c r="P5" s="461"/>
      <c r="Q5" s="461"/>
      <c r="R5" s="462"/>
      <c r="S5" s="468"/>
      <c r="T5" s="469"/>
      <c r="U5" s="469"/>
      <c r="V5" s="154"/>
      <c r="W5" s="468"/>
      <c r="X5" s="469"/>
      <c r="Y5" s="498"/>
      <c r="Z5" s="503"/>
      <c r="AA5" s="504"/>
      <c r="AB5" s="504"/>
      <c r="AC5" s="504"/>
      <c r="AD5" s="504"/>
      <c r="AE5" s="504"/>
      <c r="AF5" s="504"/>
      <c r="AG5" s="504"/>
      <c r="AH5" s="504"/>
      <c r="AI5" s="504"/>
      <c r="AJ5" s="505"/>
      <c r="AK5" s="460"/>
      <c r="AL5" s="461"/>
      <c r="AM5" s="461"/>
      <c r="AN5" s="462"/>
      <c r="AO5" s="468"/>
      <c r="AP5" s="469"/>
      <c r="AQ5" s="469"/>
      <c r="AR5" s="154"/>
    </row>
    <row r="6" spans="1:44" s="153" customFormat="1" ht="15" customHeight="1">
      <c r="A6" s="482"/>
      <c r="B6" s="483"/>
      <c r="C6" s="483"/>
      <c r="D6" s="484"/>
      <c r="E6" s="491"/>
      <c r="F6" s="492"/>
      <c r="G6" s="492"/>
      <c r="H6" s="492"/>
      <c r="I6" s="492"/>
      <c r="J6" s="492"/>
      <c r="K6" s="492"/>
      <c r="L6" s="492"/>
      <c r="M6" s="492"/>
      <c r="N6" s="493"/>
      <c r="O6" s="460"/>
      <c r="P6" s="461"/>
      <c r="Q6" s="461"/>
      <c r="R6" s="462"/>
      <c r="S6" s="468"/>
      <c r="T6" s="469"/>
      <c r="U6" s="469"/>
      <c r="V6" s="154"/>
      <c r="W6" s="468"/>
      <c r="X6" s="469"/>
      <c r="Y6" s="498"/>
      <c r="Z6" s="503"/>
      <c r="AA6" s="504"/>
      <c r="AB6" s="504"/>
      <c r="AC6" s="504"/>
      <c r="AD6" s="504"/>
      <c r="AE6" s="504"/>
      <c r="AF6" s="504"/>
      <c r="AG6" s="504"/>
      <c r="AH6" s="504"/>
      <c r="AI6" s="504"/>
      <c r="AJ6" s="505"/>
      <c r="AK6" s="460"/>
      <c r="AL6" s="461"/>
      <c r="AM6" s="461"/>
      <c r="AN6" s="462"/>
      <c r="AO6" s="468"/>
      <c r="AP6" s="469"/>
      <c r="AQ6" s="469"/>
      <c r="AR6" s="154"/>
    </row>
    <row r="7" spans="1:44" s="153" customFormat="1" ht="15" customHeight="1">
      <c r="A7" s="482"/>
      <c r="B7" s="483"/>
      <c r="C7" s="483"/>
      <c r="D7" s="484"/>
      <c r="E7" s="491"/>
      <c r="F7" s="492"/>
      <c r="G7" s="492"/>
      <c r="H7" s="492"/>
      <c r="I7" s="492"/>
      <c r="J7" s="492"/>
      <c r="K7" s="492"/>
      <c r="L7" s="492"/>
      <c r="M7" s="492"/>
      <c r="N7" s="493"/>
      <c r="O7" s="460"/>
      <c r="P7" s="461"/>
      <c r="Q7" s="461"/>
      <c r="R7" s="462"/>
      <c r="S7" s="468"/>
      <c r="T7" s="469"/>
      <c r="U7" s="469"/>
      <c r="V7" s="154"/>
      <c r="W7" s="468"/>
      <c r="X7" s="469"/>
      <c r="Y7" s="498"/>
      <c r="Z7" s="503"/>
      <c r="AA7" s="504"/>
      <c r="AB7" s="504"/>
      <c r="AC7" s="504"/>
      <c r="AD7" s="504"/>
      <c r="AE7" s="504"/>
      <c r="AF7" s="504"/>
      <c r="AG7" s="504"/>
      <c r="AH7" s="504"/>
      <c r="AI7" s="504"/>
      <c r="AJ7" s="505"/>
      <c r="AK7" s="460"/>
      <c r="AL7" s="461"/>
      <c r="AM7" s="461"/>
      <c r="AN7" s="462"/>
      <c r="AO7" s="468"/>
      <c r="AP7" s="469"/>
      <c r="AQ7" s="469"/>
      <c r="AR7" s="154"/>
    </row>
    <row r="8" spans="1:44" s="153" customFormat="1" ht="27" customHeight="1" thickBot="1">
      <c r="A8" s="485"/>
      <c r="B8" s="486"/>
      <c r="C8" s="486"/>
      <c r="D8" s="487"/>
      <c r="E8" s="494"/>
      <c r="F8" s="495"/>
      <c r="G8" s="495"/>
      <c r="H8" s="495"/>
      <c r="I8" s="495"/>
      <c r="J8" s="495"/>
      <c r="K8" s="495"/>
      <c r="L8" s="495"/>
      <c r="M8" s="495"/>
      <c r="N8" s="496"/>
      <c r="O8" s="463"/>
      <c r="P8" s="464"/>
      <c r="Q8" s="464"/>
      <c r="R8" s="465"/>
      <c r="S8" s="470"/>
      <c r="T8" s="471"/>
      <c r="U8" s="471"/>
      <c r="V8" s="155"/>
      <c r="W8" s="470"/>
      <c r="X8" s="471"/>
      <c r="Y8" s="499"/>
      <c r="Z8" s="506"/>
      <c r="AA8" s="507"/>
      <c r="AB8" s="507"/>
      <c r="AC8" s="507"/>
      <c r="AD8" s="507"/>
      <c r="AE8" s="507"/>
      <c r="AF8" s="507"/>
      <c r="AG8" s="507"/>
      <c r="AH8" s="507"/>
      <c r="AI8" s="507"/>
      <c r="AJ8" s="508"/>
      <c r="AK8" s="463"/>
      <c r="AL8" s="464"/>
      <c r="AM8" s="464"/>
      <c r="AN8" s="465"/>
      <c r="AO8" s="470"/>
      <c r="AP8" s="471"/>
      <c r="AQ8" s="471"/>
      <c r="AR8" s="155"/>
    </row>
    <row r="9" ht="11.25"/>
    <row r="10" ht="11.25"/>
    <row r="11" ht="11.25"/>
    <row r="12" ht="11.25"/>
    <row r="13" spans="9:10" ht="11.25">
      <c r="I13" s="158" t="s">
        <v>162</v>
      </c>
      <c r="J13" s="158"/>
    </row>
    <row r="14" spans="9:10" ht="11.25">
      <c r="I14" s="158" t="s">
        <v>163</v>
      </c>
      <c r="J14" s="158"/>
    </row>
    <row r="15" spans="9:10" ht="11.25">
      <c r="I15" s="158" t="s">
        <v>164</v>
      </c>
      <c r="J15" s="158"/>
    </row>
    <row r="16" spans="9:10" ht="11.25">
      <c r="I16" s="158" t="s">
        <v>165</v>
      </c>
      <c r="J16" s="158"/>
    </row>
    <row r="17" spans="7:59" ht="22.5" customHeight="1">
      <c r="G17" s="514" t="s">
        <v>166</v>
      </c>
      <c r="H17" s="516" t="s">
        <v>167</v>
      </c>
      <c r="I17" s="516" t="s">
        <v>9</v>
      </c>
      <c r="J17" s="517" t="s">
        <v>168</v>
      </c>
      <c r="K17" s="518"/>
      <c r="L17" s="519"/>
      <c r="M17" s="160"/>
      <c r="N17" s="160"/>
      <c r="O17" s="520" t="s">
        <v>169</v>
      </c>
      <c r="P17" s="520"/>
      <c r="Q17" s="520" t="s">
        <v>170</v>
      </c>
      <c r="R17" s="520"/>
      <c r="S17" s="520" t="s">
        <v>171</v>
      </c>
      <c r="T17" s="520"/>
      <c r="U17" s="520" t="s">
        <v>172</v>
      </c>
      <c r="V17" s="520"/>
      <c r="W17" s="516" t="s">
        <v>173</v>
      </c>
      <c r="X17" s="516" t="s">
        <v>174</v>
      </c>
      <c r="Y17" s="516" t="s">
        <v>175</v>
      </c>
      <c r="Z17" s="516" t="s">
        <v>176</v>
      </c>
      <c r="AA17" s="516" t="s">
        <v>2</v>
      </c>
      <c r="AB17" s="516" t="s">
        <v>177</v>
      </c>
      <c r="AC17" s="516" t="s">
        <v>178</v>
      </c>
      <c r="AD17" s="516"/>
      <c r="AE17" s="516" t="s">
        <v>179</v>
      </c>
      <c r="AF17" s="516"/>
      <c r="AG17" s="516" t="s">
        <v>180</v>
      </c>
      <c r="AH17" s="516"/>
      <c r="AI17" s="516" t="s">
        <v>181</v>
      </c>
      <c r="AJ17" s="516"/>
      <c r="AK17" s="516" t="s">
        <v>182</v>
      </c>
      <c r="AL17" s="516"/>
      <c r="AM17" s="516" t="s">
        <v>183</v>
      </c>
      <c r="AN17" s="516"/>
      <c r="AO17" s="516" t="s">
        <v>184</v>
      </c>
      <c r="AP17" s="516"/>
      <c r="AQ17" s="516" t="s">
        <v>185</v>
      </c>
      <c r="AR17" s="516"/>
      <c r="BB17" s="521" t="s">
        <v>170</v>
      </c>
      <c r="BC17" s="521"/>
      <c r="BD17" s="521" t="s">
        <v>171</v>
      </c>
      <c r="BE17" s="521"/>
      <c r="BF17" s="521" t="s">
        <v>172</v>
      </c>
      <c r="BG17" s="521"/>
    </row>
    <row r="18" spans="1:59" ht="27" customHeight="1" thickBot="1">
      <c r="A18" s="161" t="s">
        <v>186</v>
      </c>
      <c r="B18" s="161" t="s">
        <v>167</v>
      </c>
      <c r="C18" s="161" t="s">
        <v>187</v>
      </c>
      <c r="D18" s="161" t="s">
        <v>188</v>
      </c>
      <c r="E18" s="161" t="s">
        <v>189</v>
      </c>
      <c r="F18" s="161" t="s">
        <v>190</v>
      </c>
      <c r="G18" s="515"/>
      <c r="H18" s="516"/>
      <c r="I18" s="516"/>
      <c r="J18" s="159" t="s">
        <v>4</v>
      </c>
      <c r="K18" s="159" t="s">
        <v>5</v>
      </c>
      <c r="L18" s="159" t="s">
        <v>6</v>
      </c>
      <c r="M18" s="159" t="s">
        <v>191</v>
      </c>
      <c r="N18" s="159" t="s">
        <v>7</v>
      </c>
      <c r="O18" s="159" t="s">
        <v>115</v>
      </c>
      <c r="P18" s="159" t="s">
        <v>192</v>
      </c>
      <c r="Q18" s="159" t="s">
        <v>193</v>
      </c>
      <c r="R18" s="159" t="s">
        <v>194</v>
      </c>
      <c r="S18" s="159" t="s">
        <v>195</v>
      </c>
      <c r="T18" s="159" t="s">
        <v>196</v>
      </c>
      <c r="U18" s="159" t="s">
        <v>197</v>
      </c>
      <c r="V18" s="159" t="s">
        <v>196</v>
      </c>
      <c r="W18" s="516"/>
      <c r="X18" s="516"/>
      <c r="Y18" s="516"/>
      <c r="Z18" s="516"/>
      <c r="AA18" s="516"/>
      <c r="AB18" s="516"/>
      <c r="AC18" s="159" t="s">
        <v>198</v>
      </c>
      <c r="AD18" s="159" t="s">
        <v>199</v>
      </c>
      <c r="AE18" s="159" t="s">
        <v>198</v>
      </c>
      <c r="AF18" s="159" t="s">
        <v>199</v>
      </c>
      <c r="AG18" s="159" t="s">
        <v>198</v>
      </c>
      <c r="AH18" s="159" t="s">
        <v>199</v>
      </c>
      <c r="AI18" s="159" t="s">
        <v>198</v>
      </c>
      <c r="AJ18" s="159" t="s">
        <v>199</v>
      </c>
      <c r="AK18" s="159" t="s">
        <v>198</v>
      </c>
      <c r="AL18" s="159" t="s">
        <v>199</v>
      </c>
      <c r="AM18" s="159" t="s">
        <v>198</v>
      </c>
      <c r="AN18" s="159" t="s">
        <v>199</v>
      </c>
      <c r="AO18" s="159" t="s">
        <v>198</v>
      </c>
      <c r="AP18" s="159" t="s">
        <v>199</v>
      </c>
      <c r="AQ18" s="159" t="s">
        <v>198</v>
      </c>
      <c r="AR18" s="159" t="s">
        <v>199</v>
      </c>
      <c r="BB18" s="162" t="s">
        <v>193</v>
      </c>
      <c r="BC18" s="162" t="s">
        <v>194</v>
      </c>
      <c r="BD18" s="162" t="s">
        <v>195</v>
      </c>
      <c r="BE18" s="162" t="s">
        <v>196</v>
      </c>
      <c r="BF18" s="162" t="s">
        <v>197</v>
      </c>
      <c r="BG18" s="162" t="s">
        <v>196</v>
      </c>
    </row>
    <row r="19" spans="1:80" s="170" customFormat="1" ht="15.75" customHeight="1">
      <c r="A19" s="163" t="s">
        <v>200</v>
      </c>
      <c r="B19" s="163" t="s">
        <v>201</v>
      </c>
      <c r="C19" s="163" t="s">
        <v>202</v>
      </c>
      <c r="D19" s="163" t="s">
        <v>203</v>
      </c>
      <c r="E19" s="163" t="s">
        <v>204</v>
      </c>
      <c r="F19" s="163" t="s">
        <v>204</v>
      </c>
      <c r="G19" s="164">
        <v>11</v>
      </c>
      <c r="H19" s="439">
        <v>872</v>
      </c>
      <c r="I19" s="522" t="s">
        <v>205</v>
      </c>
      <c r="J19" s="525" t="s">
        <v>26</v>
      </c>
      <c r="K19" s="396"/>
      <c r="L19" s="396"/>
      <c r="M19" s="396">
        <v>0</v>
      </c>
      <c r="N19" s="396" t="s">
        <v>206</v>
      </c>
      <c r="O19" s="526">
        <v>0.25</v>
      </c>
      <c r="P19" s="529">
        <v>0.145833333333333</v>
      </c>
      <c r="Q19" s="532">
        <f>SUMIF('Actividades inversión 872'!$B$15:$B$17,'Metas inversión 872'!$B19,'Actividades inversión 872'!M$15:M$17)</f>
        <v>1000407000</v>
      </c>
      <c r="R19" s="532">
        <f>SUMIF('Actividades inversión 872'!$B$15:$B$17,'Metas inversión 872'!$B19,'Actividades inversión 872'!N$15:N$17)</f>
        <v>965391000</v>
      </c>
      <c r="S19" s="532">
        <f>SUMIF('Actividades inversión 872'!$B$15:$B$17,'Metas inversión 872'!$B19,'Actividades inversión 872'!O$15:O$17)</f>
        <v>710008000</v>
      </c>
      <c r="T19" s="532">
        <f>SUMIF('Actividades inversión 872'!$B$15:$B$17,'Metas inversión 872'!$B19,'Actividades inversión 872'!P$15:P$17)</f>
        <v>187928713.6666667</v>
      </c>
      <c r="U19" s="532">
        <f>SUMIF('Actividades inversión 872'!$B$15:$B$17,'Metas inversión 872'!$B19,'Actividades inversión 872'!Q$15:Q$17)</f>
        <v>106777267</v>
      </c>
      <c r="V19" s="532">
        <f>SUMIF('Actividades inversión 872'!$B$15:$B$17,'Metas inversión 872'!$B19,'Actividades inversión 872'!R$15:R$17)</f>
        <v>86360767</v>
      </c>
      <c r="W19" s="535" t="s">
        <v>207</v>
      </c>
      <c r="X19" s="535" t="s">
        <v>208</v>
      </c>
      <c r="Y19" s="535" t="s">
        <v>209</v>
      </c>
      <c r="Z19" s="538" t="s">
        <v>210</v>
      </c>
      <c r="AA19" s="541" t="s">
        <v>211</v>
      </c>
      <c r="AB19" s="165" t="s">
        <v>212</v>
      </c>
      <c r="AC19" s="166"/>
      <c r="AD19" s="166"/>
      <c r="AE19" s="166"/>
      <c r="AF19" s="166"/>
      <c r="AG19" s="166"/>
      <c r="AH19" s="166"/>
      <c r="AI19" s="166"/>
      <c r="AJ19" s="166"/>
      <c r="AK19" s="166"/>
      <c r="AL19" s="166"/>
      <c r="AM19" s="166"/>
      <c r="AN19" s="166"/>
      <c r="AO19" s="166"/>
      <c r="AP19" s="166"/>
      <c r="AQ19" s="167">
        <f aca="true" t="shared" si="0" ref="AQ19:AR24">+AC19+AE19+AG19+AI19+AK19+AM19+AO19</f>
        <v>0</v>
      </c>
      <c r="AR19" s="167">
        <f t="shared" si="0"/>
        <v>0</v>
      </c>
      <c r="AS19" s="168">
        <f>+R19-S19</f>
        <v>255383000</v>
      </c>
      <c r="AT19" s="168">
        <f>+S19-T19</f>
        <v>522079286.3333333</v>
      </c>
      <c r="AU19" s="168">
        <f>+U19-V19</f>
        <v>20416500</v>
      </c>
      <c r="AV19" s="157"/>
      <c r="AW19" s="168">
        <f>+'[1]Metas'!S19:S37-S19</f>
        <v>293263320</v>
      </c>
      <c r="AX19" s="168">
        <f>+'[1]Metas'!T19:T37-T19</f>
        <v>71428520.33333331</v>
      </c>
      <c r="AY19" s="168">
        <f>+'[1]Metas'!U19:U37-U19</f>
        <v>43372165</v>
      </c>
      <c r="AZ19" s="168">
        <f>+'[1]Metas'!V19:V37-V19</f>
        <v>63788665</v>
      </c>
      <c r="BA19" s="157"/>
      <c r="BB19" s="169">
        <f>SUM('[2]99-METROPOLITANO'!N30)</f>
        <v>1000407000</v>
      </c>
      <c r="BC19" s="169">
        <f>SUM('[2]99-METROPOLITANO'!O30)</f>
        <v>965391000</v>
      </c>
      <c r="BD19" s="169">
        <f>SUM('[2]99-METROPOLITANO'!P30)</f>
        <v>710008000</v>
      </c>
      <c r="BE19" s="169">
        <f>SUM('[2]99-METROPOLITANO'!Q30)</f>
        <v>187928713.6666667</v>
      </c>
      <c r="BF19" s="169">
        <f>SUM('[2]99-METROPOLITANO'!R30)</f>
        <v>106777267</v>
      </c>
      <c r="BG19" s="169">
        <f>SUM('[2]99-METROPOLITANO'!S30)</f>
        <v>86360767</v>
      </c>
      <c r="BK19" s="157"/>
      <c r="BL19" s="157"/>
      <c r="BM19" s="157"/>
      <c r="BN19" s="157"/>
      <c r="BO19" s="157"/>
      <c r="BP19" s="157"/>
      <c r="BQ19" s="157"/>
      <c r="BR19" s="157"/>
      <c r="BS19" s="157"/>
      <c r="BT19" s="157"/>
      <c r="BU19" s="157"/>
      <c r="BV19" s="157"/>
      <c r="BW19" s="157"/>
      <c r="BX19" s="157"/>
      <c r="BY19" s="157"/>
      <c r="BZ19" s="157"/>
      <c r="CA19" s="157"/>
      <c r="CB19" s="157"/>
    </row>
    <row r="20" spans="1:80" s="170" customFormat="1" ht="11.25" customHeight="1">
      <c r="A20" s="163"/>
      <c r="B20" s="163"/>
      <c r="C20" s="163"/>
      <c r="D20" s="163"/>
      <c r="E20" s="163"/>
      <c r="F20" s="163"/>
      <c r="G20" s="164"/>
      <c r="H20" s="440"/>
      <c r="I20" s="523"/>
      <c r="J20" s="397"/>
      <c r="K20" s="397"/>
      <c r="L20" s="397"/>
      <c r="M20" s="397"/>
      <c r="N20" s="397"/>
      <c r="O20" s="527"/>
      <c r="P20" s="530"/>
      <c r="Q20" s="533"/>
      <c r="R20" s="533"/>
      <c r="S20" s="533"/>
      <c r="T20" s="533"/>
      <c r="U20" s="533"/>
      <c r="V20" s="533"/>
      <c r="W20" s="536"/>
      <c r="X20" s="536"/>
      <c r="Y20" s="536"/>
      <c r="Z20" s="539"/>
      <c r="AA20" s="542"/>
      <c r="AB20" s="171" t="s">
        <v>213</v>
      </c>
      <c r="AC20" s="172"/>
      <c r="AD20" s="172"/>
      <c r="AE20" s="172"/>
      <c r="AF20" s="172"/>
      <c r="AG20" s="172"/>
      <c r="AH20" s="172"/>
      <c r="AI20" s="172"/>
      <c r="AJ20" s="172"/>
      <c r="AK20" s="172"/>
      <c r="AL20" s="172"/>
      <c r="AM20" s="172"/>
      <c r="AN20" s="172"/>
      <c r="AO20" s="172"/>
      <c r="AP20" s="172"/>
      <c r="AQ20" s="173">
        <f t="shared" si="0"/>
        <v>0</v>
      </c>
      <c r="AR20" s="174">
        <f>+AD20+AF20+AH20+AJ20+AL20+AN20+AP20</f>
        <v>0</v>
      </c>
      <c r="AS20" s="168">
        <f aca="true" t="shared" si="1" ref="AS20:AT40">+R20-S20</f>
        <v>0</v>
      </c>
      <c r="AT20" s="168">
        <f t="shared" si="1"/>
        <v>0</v>
      </c>
      <c r="AU20" s="168">
        <f aca="true" t="shared" si="2" ref="AU20:AU40">+U20-V20</f>
        <v>0</v>
      </c>
      <c r="AV20" s="157"/>
      <c r="AW20" s="168">
        <f>+'[1]Metas'!S20:S38-S20</f>
        <v>0</v>
      </c>
      <c r="AX20" s="168">
        <f>+'[1]Metas'!T20:T38-T20</f>
        <v>0</v>
      </c>
      <c r="AY20" s="168">
        <f>+'[1]Metas'!U20:U38-U20</f>
        <v>0</v>
      </c>
      <c r="AZ20" s="168">
        <f>+'[1]Metas'!V20:V38-V20</f>
        <v>0</v>
      </c>
      <c r="BA20" s="157"/>
      <c r="BB20" s="169"/>
      <c r="BC20" s="169"/>
      <c r="BD20" s="169"/>
      <c r="BE20" s="169"/>
      <c r="BF20" s="169"/>
      <c r="BG20" s="169"/>
      <c r="BK20" s="157"/>
      <c r="BL20" s="157"/>
      <c r="BM20" s="157"/>
      <c r="BN20" s="157"/>
      <c r="BO20" s="157"/>
      <c r="BP20" s="157"/>
      <c r="BQ20" s="157"/>
      <c r="BR20" s="157"/>
      <c r="BS20" s="157"/>
      <c r="BT20" s="157"/>
      <c r="BU20" s="157"/>
      <c r="BV20" s="157"/>
      <c r="BW20" s="157"/>
      <c r="BX20" s="157"/>
      <c r="BY20" s="157"/>
      <c r="BZ20" s="157"/>
      <c r="CA20" s="157"/>
      <c r="CB20" s="157"/>
    </row>
    <row r="21" spans="1:80" s="170" customFormat="1" ht="11.25" customHeight="1">
      <c r="A21" s="163"/>
      <c r="B21" s="163"/>
      <c r="C21" s="163"/>
      <c r="D21" s="163"/>
      <c r="E21" s="163"/>
      <c r="F21" s="163"/>
      <c r="G21" s="164"/>
      <c r="H21" s="440"/>
      <c r="I21" s="523"/>
      <c r="J21" s="397"/>
      <c r="K21" s="397"/>
      <c r="L21" s="397"/>
      <c r="M21" s="397"/>
      <c r="N21" s="397"/>
      <c r="O21" s="527"/>
      <c r="P21" s="530"/>
      <c r="Q21" s="533"/>
      <c r="R21" s="533"/>
      <c r="S21" s="533"/>
      <c r="T21" s="533"/>
      <c r="U21" s="533"/>
      <c r="V21" s="533"/>
      <c r="W21" s="536"/>
      <c r="X21" s="536"/>
      <c r="Y21" s="536"/>
      <c r="Z21" s="539"/>
      <c r="AA21" s="542"/>
      <c r="AB21" s="171" t="s">
        <v>214</v>
      </c>
      <c r="AC21" s="172"/>
      <c r="AD21" s="172"/>
      <c r="AE21" s="172"/>
      <c r="AF21" s="172"/>
      <c r="AG21" s="172"/>
      <c r="AH21" s="172"/>
      <c r="AI21" s="172"/>
      <c r="AJ21" s="172"/>
      <c r="AK21" s="172"/>
      <c r="AL21" s="172"/>
      <c r="AM21" s="172"/>
      <c r="AN21" s="172"/>
      <c r="AO21" s="172"/>
      <c r="AP21" s="172"/>
      <c r="AQ21" s="173">
        <f t="shared" si="0"/>
        <v>0</v>
      </c>
      <c r="AR21" s="174">
        <f>+AD21+AF21+AH21+AJ21+AL21+AN21+AP21</f>
        <v>0</v>
      </c>
      <c r="AS21" s="168">
        <f t="shared" si="1"/>
        <v>0</v>
      </c>
      <c r="AT21" s="168">
        <f t="shared" si="1"/>
        <v>0</v>
      </c>
      <c r="AU21" s="168">
        <f t="shared" si="2"/>
        <v>0</v>
      </c>
      <c r="AV21" s="157"/>
      <c r="AW21" s="168">
        <f>+'[1]Metas'!S21:S39-S21</f>
        <v>0</v>
      </c>
      <c r="AX21" s="168">
        <f>+'[1]Metas'!T21:T39-T21</f>
        <v>0</v>
      </c>
      <c r="AY21" s="168">
        <f>+'[1]Metas'!U21:U39-U21</f>
        <v>0</v>
      </c>
      <c r="AZ21" s="168">
        <f>+'[1]Metas'!V21:V39-V21</f>
        <v>0</v>
      </c>
      <c r="BA21" s="157"/>
      <c r="BB21" s="169"/>
      <c r="BC21" s="169"/>
      <c r="BD21" s="169"/>
      <c r="BE21" s="169"/>
      <c r="BF21" s="169"/>
      <c r="BG21" s="169"/>
      <c r="BK21" s="157"/>
      <c r="BL21" s="157"/>
      <c r="BM21" s="157"/>
      <c r="BN21" s="157"/>
      <c r="BO21" s="157"/>
      <c r="BP21" s="157"/>
      <c r="BQ21" s="157"/>
      <c r="BR21" s="157"/>
      <c r="BS21" s="157"/>
      <c r="BT21" s="157"/>
      <c r="BU21" s="157"/>
      <c r="BV21" s="157"/>
      <c r="BW21" s="157"/>
      <c r="BX21" s="157"/>
      <c r="BY21" s="157"/>
      <c r="BZ21" s="157"/>
      <c r="CA21" s="157"/>
      <c r="CB21" s="157"/>
    </row>
    <row r="22" spans="1:80" s="170" customFormat="1" ht="11.25" customHeight="1">
      <c r="A22" s="163"/>
      <c r="B22" s="163"/>
      <c r="C22" s="163"/>
      <c r="D22" s="163"/>
      <c r="E22" s="163"/>
      <c r="F22" s="163"/>
      <c r="G22" s="164"/>
      <c r="H22" s="440"/>
      <c r="I22" s="523"/>
      <c r="J22" s="397"/>
      <c r="K22" s="397"/>
      <c r="L22" s="397"/>
      <c r="M22" s="397"/>
      <c r="N22" s="397"/>
      <c r="O22" s="527"/>
      <c r="P22" s="530"/>
      <c r="Q22" s="533"/>
      <c r="R22" s="533"/>
      <c r="S22" s="533"/>
      <c r="T22" s="533"/>
      <c r="U22" s="533"/>
      <c r="V22" s="533"/>
      <c r="W22" s="536"/>
      <c r="X22" s="536"/>
      <c r="Y22" s="536"/>
      <c r="Z22" s="539"/>
      <c r="AA22" s="542"/>
      <c r="AB22" s="171" t="s">
        <v>215</v>
      </c>
      <c r="AC22" s="172"/>
      <c r="AD22" s="172"/>
      <c r="AE22" s="172"/>
      <c r="AF22" s="172"/>
      <c r="AG22" s="172"/>
      <c r="AH22" s="172"/>
      <c r="AI22" s="172"/>
      <c r="AJ22" s="172"/>
      <c r="AK22" s="172"/>
      <c r="AL22" s="172"/>
      <c r="AM22" s="172"/>
      <c r="AN22" s="172"/>
      <c r="AO22" s="172"/>
      <c r="AP22" s="172"/>
      <c r="AQ22" s="173">
        <f t="shared" si="0"/>
        <v>0</v>
      </c>
      <c r="AR22" s="174">
        <f>+AD22+AF22+AH22+AJ22+AL22+AN22+AP22</f>
        <v>0</v>
      </c>
      <c r="AS22" s="168">
        <f t="shared" si="1"/>
        <v>0</v>
      </c>
      <c r="AT22" s="168">
        <f t="shared" si="1"/>
        <v>0</v>
      </c>
      <c r="AU22" s="168">
        <f t="shared" si="2"/>
        <v>0</v>
      </c>
      <c r="AV22" s="157"/>
      <c r="AW22" s="168">
        <f>+'[1]Metas'!S22:S40-S22</f>
        <v>0</v>
      </c>
      <c r="AX22" s="168">
        <f>+'[1]Metas'!T22:T40-T22</f>
        <v>0</v>
      </c>
      <c r="AY22" s="168">
        <f>+'[1]Metas'!U22:U40-U22</f>
        <v>0</v>
      </c>
      <c r="AZ22" s="168">
        <f>+'[1]Metas'!V22:V40-V22</f>
        <v>0</v>
      </c>
      <c r="BA22" s="157"/>
      <c r="BB22" s="169"/>
      <c r="BC22" s="169"/>
      <c r="BD22" s="169"/>
      <c r="BE22" s="169"/>
      <c r="BF22" s="169"/>
      <c r="BG22" s="169"/>
      <c r="BK22" s="157"/>
      <c r="BL22" s="157"/>
      <c r="BM22" s="157"/>
      <c r="BN22" s="157"/>
      <c r="BO22" s="157"/>
      <c r="BP22" s="157"/>
      <c r="BQ22" s="157"/>
      <c r="BR22" s="157"/>
      <c r="BS22" s="157"/>
      <c r="BT22" s="157"/>
      <c r="BU22" s="157"/>
      <c r="BV22" s="157"/>
      <c r="BW22" s="157"/>
      <c r="BX22" s="157"/>
      <c r="BY22" s="157"/>
      <c r="BZ22" s="157"/>
      <c r="CA22" s="157"/>
      <c r="CB22" s="157"/>
    </row>
    <row r="23" spans="1:80" s="170" customFormat="1" ht="11.25" customHeight="1">
      <c r="A23" s="163"/>
      <c r="B23" s="163"/>
      <c r="C23" s="163"/>
      <c r="D23" s="163"/>
      <c r="E23" s="163"/>
      <c r="F23" s="163"/>
      <c r="G23" s="164"/>
      <c r="H23" s="440"/>
      <c r="I23" s="523"/>
      <c r="J23" s="397"/>
      <c r="K23" s="397"/>
      <c r="L23" s="397"/>
      <c r="M23" s="397"/>
      <c r="N23" s="397"/>
      <c r="O23" s="527"/>
      <c r="P23" s="530"/>
      <c r="Q23" s="533"/>
      <c r="R23" s="533"/>
      <c r="S23" s="533"/>
      <c r="T23" s="533"/>
      <c r="U23" s="533"/>
      <c r="V23" s="533"/>
      <c r="W23" s="536"/>
      <c r="X23" s="536"/>
      <c r="Y23" s="536"/>
      <c r="Z23" s="539"/>
      <c r="AA23" s="542"/>
      <c r="AB23" s="171" t="s">
        <v>216</v>
      </c>
      <c r="AC23" s="172"/>
      <c r="AD23" s="172"/>
      <c r="AE23" s="172"/>
      <c r="AF23" s="172"/>
      <c r="AG23" s="172"/>
      <c r="AH23" s="172"/>
      <c r="AI23" s="172"/>
      <c r="AJ23" s="172"/>
      <c r="AK23" s="172"/>
      <c r="AL23" s="172"/>
      <c r="AM23" s="172"/>
      <c r="AN23" s="172"/>
      <c r="AO23" s="172"/>
      <c r="AP23" s="172"/>
      <c r="AQ23" s="173">
        <f t="shared" si="0"/>
        <v>0</v>
      </c>
      <c r="AR23" s="174">
        <f>+AD23+AF23+AH23+AJ23+AL23+AN23+AP23</f>
        <v>0</v>
      </c>
      <c r="AS23" s="168">
        <f t="shared" si="1"/>
        <v>0</v>
      </c>
      <c r="AT23" s="168">
        <f t="shared" si="1"/>
        <v>0</v>
      </c>
      <c r="AU23" s="168">
        <f t="shared" si="2"/>
        <v>0</v>
      </c>
      <c r="AV23" s="157"/>
      <c r="AW23" s="168">
        <f>+'[1]Metas'!S23:S41-S23</f>
        <v>0</v>
      </c>
      <c r="AX23" s="168">
        <f>+'[1]Metas'!T23:T41-T23</f>
        <v>0</v>
      </c>
      <c r="AY23" s="168">
        <f>+'[1]Metas'!U23:U41-U23</f>
        <v>0</v>
      </c>
      <c r="AZ23" s="168">
        <f>+'[1]Metas'!V23:V41-V23</f>
        <v>0</v>
      </c>
      <c r="BA23" s="157"/>
      <c r="BB23" s="169"/>
      <c r="BC23" s="169"/>
      <c r="BD23" s="169"/>
      <c r="BE23" s="169"/>
      <c r="BF23" s="169"/>
      <c r="BG23" s="169"/>
      <c r="BK23" s="157"/>
      <c r="BL23" s="157"/>
      <c r="BM23" s="157"/>
      <c r="BN23" s="157"/>
      <c r="BO23" s="157"/>
      <c r="BP23" s="157"/>
      <c r="BQ23" s="157"/>
      <c r="BR23" s="157"/>
      <c r="BS23" s="157"/>
      <c r="BT23" s="157"/>
      <c r="BU23" s="157"/>
      <c r="BV23" s="157"/>
      <c r="BW23" s="157"/>
      <c r="BX23" s="157"/>
      <c r="BY23" s="157"/>
      <c r="BZ23" s="157"/>
      <c r="CA23" s="157"/>
      <c r="CB23" s="157"/>
    </row>
    <row r="24" spans="1:80" s="170" customFormat="1" ht="11.25" customHeight="1">
      <c r="A24" s="163"/>
      <c r="B24" s="163"/>
      <c r="C24" s="163"/>
      <c r="D24" s="163"/>
      <c r="E24" s="163"/>
      <c r="F24" s="163"/>
      <c r="G24" s="164"/>
      <c r="H24" s="440"/>
      <c r="I24" s="523"/>
      <c r="J24" s="397"/>
      <c r="K24" s="397"/>
      <c r="L24" s="397"/>
      <c r="M24" s="397"/>
      <c r="N24" s="397"/>
      <c r="O24" s="527"/>
      <c r="P24" s="530"/>
      <c r="Q24" s="533"/>
      <c r="R24" s="533"/>
      <c r="S24" s="533"/>
      <c r="T24" s="533"/>
      <c r="U24" s="533"/>
      <c r="V24" s="533"/>
      <c r="W24" s="536"/>
      <c r="X24" s="536"/>
      <c r="Y24" s="536"/>
      <c r="Z24" s="539"/>
      <c r="AA24" s="542"/>
      <c r="AB24" s="175" t="s">
        <v>217</v>
      </c>
      <c r="AC24" s="172"/>
      <c r="AD24" s="172"/>
      <c r="AE24" s="172"/>
      <c r="AF24" s="172"/>
      <c r="AG24" s="172"/>
      <c r="AH24" s="172"/>
      <c r="AI24" s="172"/>
      <c r="AJ24" s="172"/>
      <c r="AK24" s="172"/>
      <c r="AL24" s="172"/>
      <c r="AM24" s="172"/>
      <c r="AN24" s="172"/>
      <c r="AO24" s="172"/>
      <c r="AP24" s="172"/>
      <c r="AQ24" s="173">
        <f t="shared" si="0"/>
        <v>0</v>
      </c>
      <c r="AR24" s="174">
        <f>+AD24+AF24+AH24+AJ24+AL24+AN24+AP24</f>
        <v>0</v>
      </c>
      <c r="AS24" s="168">
        <f t="shared" si="1"/>
        <v>0</v>
      </c>
      <c r="AT24" s="168">
        <f t="shared" si="1"/>
        <v>0</v>
      </c>
      <c r="AU24" s="168">
        <f t="shared" si="2"/>
        <v>0</v>
      </c>
      <c r="AV24" s="157"/>
      <c r="AW24" s="168">
        <f>+'[1]Metas'!S24:S42-S24</f>
        <v>0</v>
      </c>
      <c r="AX24" s="168">
        <f>+'[1]Metas'!T24:T42-T24</f>
        <v>0</v>
      </c>
      <c r="AY24" s="168">
        <f>+'[1]Metas'!U24:U42-U24</f>
        <v>0</v>
      </c>
      <c r="AZ24" s="168">
        <f>+'[1]Metas'!V24:V42-V24</f>
        <v>0</v>
      </c>
      <c r="BA24" s="157"/>
      <c r="BB24" s="169"/>
      <c r="BC24" s="169"/>
      <c r="BD24" s="169"/>
      <c r="BE24" s="169"/>
      <c r="BF24" s="169"/>
      <c r="BG24" s="169"/>
      <c r="BK24" s="157"/>
      <c r="BL24" s="157"/>
      <c r="BM24" s="157"/>
      <c r="BN24" s="157"/>
      <c r="BO24" s="157"/>
      <c r="BP24" s="157"/>
      <c r="BQ24" s="157"/>
      <c r="BR24" s="157"/>
      <c r="BS24" s="157"/>
      <c r="BT24" s="157"/>
      <c r="BU24" s="157"/>
      <c r="BV24" s="157"/>
      <c r="BW24" s="157"/>
      <c r="BX24" s="157"/>
      <c r="BY24" s="157"/>
      <c r="BZ24" s="157"/>
      <c r="CA24" s="157"/>
      <c r="CB24" s="157"/>
    </row>
    <row r="25" spans="1:80" s="170" customFormat="1" ht="11.25" customHeight="1">
      <c r="A25" s="163"/>
      <c r="B25" s="163"/>
      <c r="C25" s="163"/>
      <c r="D25" s="163"/>
      <c r="E25" s="163"/>
      <c r="F25" s="163"/>
      <c r="G25" s="164"/>
      <c r="H25" s="440"/>
      <c r="I25" s="523"/>
      <c r="J25" s="397"/>
      <c r="K25" s="397"/>
      <c r="L25" s="397"/>
      <c r="M25" s="397"/>
      <c r="N25" s="397"/>
      <c r="O25" s="527"/>
      <c r="P25" s="530"/>
      <c r="Q25" s="533"/>
      <c r="R25" s="533"/>
      <c r="S25" s="533"/>
      <c r="T25" s="533"/>
      <c r="U25" s="533"/>
      <c r="V25" s="533"/>
      <c r="W25" s="536"/>
      <c r="X25" s="536"/>
      <c r="Y25" s="536"/>
      <c r="Z25" s="539"/>
      <c r="AA25" s="542"/>
      <c r="AB25" s="176" t="s">
        <v>218</v>
      </c>
      <c r="AC25" s="177">
        <f aca="true" t="shared" si="3" ref="AC25:AR25">SUM(AC19:AC24)</f>
        <v>0</v>
      </c>
      <c r="AD25" s="177">
        <f t="shared" si="3"/>
        <v>0</v>
      </c>
      <c r="AE25" s="177">
        <f t="shared" si="3"/>
        <v>0</v>
      </c>
      <c r="AF25" s="177">
        <f t="shared" si="3"/>
        <v>0</v>
      </c>
      <c r="AG25" s="177">
        <f t="shared" si="3"/>
        <v>0</v>
      </c>
      <c r="AH25" s="177">
        <f t="shared" si="3"/>
        <v>0</v>
      </c>
      <c r="AI25" s="177">
        <f t="shared" si="3"/>
        <v>0</v>
      </c>
      <c r="AJ25" s="177">
        <f t="shared" si="3"/>
        <v>0</v>
      </c>
      <c r="AK25" s="177">
        <f t="shared" si="3"/>
        <v>0</v>
      </c>
      <c r="AL25" s="177">
        <f t="shared" si="3"/>
        <v>0</v>
      </c>
      <c r="AM25" s="177">
        <f t="shared" si="3"/>
        <v>0</v>
      </c>
      <c r="AN25" s="177">
        <f t="shared" si="3"/>
        <v>0</v>
      </c>
      <c r="AO25" s="177">
        <f t="shared" si="3"/>
        <v>0</v>
      </c>
      <c r="AP25" s="177">
        <f t="shared" si="3"/>
        <v>0</v>
      </c>
      <c r="AQ25" s="177">
        <f t="shared" si="3"/>
        <v>0</v>
      </c>
      <c r="AR25" s="177">
        <f t="shared" si="3"/>
        <v>0</v>
      </c>
      <c r="AS25" s="168">
        <f t="shared" si="1"/>
        <v>0</v>
      </c>
      <c r="AT25" s="168">
        <f t="shared" si="1"/>
        <v>0</v>
      </c>
      <c r="AU25" s="168">
        <f t="shared" si="2"/>
        <v>0</v>
      </c>
      <c r="AV25" s="157"/>
      <c r="AW25" s="168">
        <f>+'[1]Metas'!S25:S43-S25</f>
        <v>0</v>
      </c>
      <c r="AX25" s="168">
        <f>+'[1]Metas'!T25:T43-T25</f>
        <v>0</v>
      </c>
      <c r="AY25" s="168">
        <f>+'[1]Metas'!U25:U43-U25</f>
        <v>0</v>
      </c>
      <c r="AZ25" s="168">
        <f>+'[1]Metas'!V25:V43-V25</f>
        <v>0</v>
      </c>
      <c r="BA25" s="157"/>
      <c r="BB25" s="169"/>
      <c r="BC25" s="169"/>
      <c r="BD25" s="169"/>
      <c r="BE25" s="169"/>
      <c r="BF25" s="169"/>
      <c r="BG25" s="169"/>
      <c r="BK25" s="157"/>
      <c r="BL25" s="157"/>
      <c r="BM25" s="157"/>
      <c r="BN25" s="157"/>
      <c r="BO25" s="157"/>
      <c r="BP25" s="157"/>
      <c r="BQ25" s="157"/>
      <c r="BR25" s="157"/>
      <c r="BS25" s="157"/>
      <c r="BT25" s="157"/>
      <c r="BU25" s="157"/>
      <c r="BV25" s="157"/>
      <c r="BW25" s="157"/>
      <c r="BX25" s="157"/>
      <c r="BY25" s="157"/>
      <c r="BZ25" s="157"/>
      <c r="CA25" s="157"/>
      <c r="CB25" s="157"/>
    </row>
    <row r="26" spans="1:80" s="170" customFormat="1" ht="11.25" customHeight="1">
      <c r="A26" s="163"/>
      <c r="B26" s="163"/>
      <c r="C26" s="163"/>
      <c r="D26" s="163"/>
      <c r="E26" s="163"/>
      <c r="F26" s="163"/>
      <c r="G26" s="164"/>
      <c r="H26" s="440"/>
      <c r="I26" s="523"/>
      <c r="J26" s="397"/>
      <c r="K26" s="397"/>
      <c r="L26" s="397"/>
      <c r="M26" s="397"/>
      <c r="N26" s="397"/>
      <c r="O26" s="527"/>
      <c r="P26" s="530"/>
      <c r="Q26" s="533"/>
      <c r="R26" s="533"/>
      <c r="S26" s="533"/>
      <c r="T26" s="533"/>
      <c r="U26" s="533"/>
      <c r="V26" s="533"/>
      <c r="W26" s="536"/>
      <c r="X26" s="536"/>
      <c r="Y26" s="536"/>
      <c r="Z26" s="539"/>
      <c r="AA26" s="542"/>
      <c r="AB26" s="171" t="s">
        <v>219</v>
      </c>
      <c r="AC26" s="172"/>
      <c r="AD26" s="172"/>
      <c r="AE26" s="172"/>
      <c r="AF26" s="172"/>
      <c r="AG26" s="172"/>
      <c r="AH26" s="172"/>
      <c r="AI26" s="172"/>
      <c r="AJ26" s="172"/>
      <c r="AK26" s="172"/>
      <c r="AL26" s="172"/>
      <c r="AM26" s="172"/>
      <c r="AN26" s="172"/>
      <c r="AO26" s="172"/>
      <c r="AP26" s="172"/>
      <c r="AQ26" s="173">
        <f>+AC26+AE26+AG26+AI26+AK26+AM26+AO26</f>
        <v>0</v>
      </c>
      <c r="AR26" s="174">
        <f aca="true" t="shared" si="4" ref="AR26:AR36">+AD26+AF26+AH26+AJ26+AL26+AN26+AP26</f>
        <v>0</v>
      </c>
      <c r="AS26" s="168">
        <f t="shared" si="1"/>
        <v>0</v>
      </c>
      <c r="AT26" s="168">
        <f t="shared" si="1"/>
        <v>0</v>
      </c>
      <c r="AU26" s="168">
        <f t="shared" si="2"/>
        <v>0</v>
      </c>
      <c r="AV26" s="157"/>
      <c r="AW26" s="168">
        <f>+'[1]Metas'!S26:S44-S26</f>
        <v>0</v>
      </c>
      <c r="AX26" s="168">
        <f>+'[1]Metas'!T26:T44-T26</f>
        <v>0</v>
      </c>
      <c r="AY26" s="168">
        <f>+'[1]Metas'!U26:U44-U26</f>
        <v>0</v>
      </c>
      <c r="AZ26" s="168">
        <f>+'[1]Metas'!V26:V44-V26</f>
        <v>0</v>
      </c>
      <c r="BA26" s="157"/>
      <c r="BB26" s="169"/>
      <c r="BC26" s="169"/>
      <c r="BD26" s="169"/>
      <c r="BE26" s="169"/>
      <c r="BF26" s="169"/>
      <c r="BG26" s="169"/>
      <c r="BK26" s="157"/>
      <c r="BL26" s="157"/>
      <c r="BM26" s="157"/>
      <c r="BN26" s="157"/>
      <c r="BO26" s="157"/>
      <c r="BP26" s="157"/>
      <c r="BQ26" s="157"/>
      <c r="BR26" s="157"/>
      <c r="BS26" s="157"/>
      <c r="BT26" s="157"/>
      <c r="BU26" s="157"/>
      <c r="BV26" s="157"/>
      <c r="BW26" s="157"/>
      <c r="BX26" s="157"/>
      <c r="BY26" s="157"/>
      <c r="BZ26" s="157"/>
      <c r="CA26" s="157"/>
      <c r="CB26" s="157"/>
    </row>
    <row r="27" spans="1:80" s="170" customFormat="1" ht="11.25" customHeight="1">
      <c r="A27" s="163"/>
      <c r="B27" s="163"/>
      <c r="C27" s="163"/>
      <c r="D27" s="163"/>
      <c r="E27" s="163"/>
      <c r="F27" s="163"/>
      <c r="G27" s="164"/>
      <c r="H27" s="440"/>
      <c r="I27" s="523"/>
      <c r="J27" s="397"/>
      <c r="K27" s="397"/>
      <c r="L27" s="397"/>
      <c r="M27" s="397"/>
      <c r="N27" s="397"/>
      <c r="O27" s="527"/>
      <c r="P27" s="530"/>
      <c r="Q27" s="533"/>
      <c r="R27" s="533"/>
      <c r="S27" s="533"/>
      <c r="T27" s="533"/>
      <c r="U27" s="533"/>
      <c r="V27" s="533"/>
      <c r="W27" s="536"/>
      <c r="X27" s="536"/>
      <c r="Y27" s="536"/>
      <c r="Z27" s="539"/>
      <c r="AA27" s="542"/>
      <c r="AB27" s="171" t="s">
        <v>220</v>
      </c>
      <c r="AC27" s="172"/>
      <c r="AD27" s="172"/>
      <c r="AE27" s="172"/>
      <c r="AF27" s="172"/>
      <c r="AG27" s="172"/>
      <c r="AH27" s="172"/>
      <c r="AI27" s="172"/>
      <c r="AJ27" s="172"/>
      <c r="AK27" s="172"/>
      <c r="AL27" s="172"/>
      <c r="AM27" s="172"/>
      <c r="AN27" s="172"/>
      <c r="AO27" s="172"/>
      <c r="AP27" s="172"/>
      <c r="AQ27" s="173">
        <f aca="true" t="shared" si="5" ref="AQ27:AQ36">+AC27+AE27+AG27+AI27+AK27+AM27+AO27</f>
        <v>0</v>
      </c>
      <c r="AR27" s="174">
        <f t="shared" si="4"/>
        <v>0</v>
      </c>
      <c r="AS27" s="168">
        <f t="shared" si="1"/>
        <v>0</v>
      </c>
      <c r="AT27" s="168">
        <f t="shared" si="1"/>
        <v>0</v>
      </c>
      <c r="AU27" s="168">
        <f t="shared" si="2"/>
        <v>0</v>
      </c>
      <c r="AV27" s="157"/>
      <c r="AW27" s="168">
        <f>+'[1]Metas'!S27:S45-S27</f>
        <v>0</v>
      </c>
      <c r="AX27" s="168">
        <f>+'[1]Metas'!T27:T45-T27</f>
        <v>0</v>
      </c>
      <c r="AY27" s="168">
        <f>+'[1]Metas'!U27:U45-U27</f>
        <v>0</v>
      </c>
      <c r="AZ27" s="168">
        <f>+'[1]Metas'!V27:V45-V27</f>
        <v>0</v>
      </c>
      <c r="BA27" s="157"/>
      <c r="BB27" s="169"/>
      <c r="BC27" s="169"/>
      <c r="BD27" s="169"/>
      <c r="BE27" s="169"/>
      <c r="BF27" s="169"/>
      <c r="BG27" s="169"/>
      <c r="BK27" s="157"/>
      <c r="BL27" s="157"/>
      <c r="BM27" s="157"/>
      <c r="BN27" s="157"/>
      <c r="BO27" s="157"/>
      <c r="BP27" s="157"/>
      <c r="BQ27" s="157"/>
      <c r="BR27" s="157"/>
      <c r="BS27" s="157"/>
      <c r="BT27" s="157"/>
      <c r="BU27" s="157"/>
      <c r="BV27" s="157"/>
      <c r="BW27" s="157"/>
      <c r="BX27" s="157"/>
      <c r="BY27" s="157"/>
      <c r="BZ27" s="157"/>
      <c r="CA27" s="157"/>
      <c r="CB27" s="157"/>
    </row>
    <row r="28" spans="1:80" s="170" customFormat="1" ht="11.25" customHeight="1">
      <c r="A28" s="163"/>
      <c r="B28" s="163"/>
      <c r="C28" s="163"/>
      <c r="D28" s="163"/>
      <c r="E28" s="163"/>
      <c r="F28" s="163"/>
      <c r="G28" s="164"/>
      <c r="H28" s="440"/>
      <c r="I28" s="523"/>
      <c r="J28" s="397"/>
      <c r="K28" s="397"/>
      <c r="L28" s="397"/>
      <c r="M28" s="397"/>
      <c r="N28" s="397"/>
      <c r="O28" s="527"/>
      <c r="P28" s="530"/>
      <c r="Q28" s="533"/>
      <c r="R28" s="533"/>
      <c r="S28" s="533"/>
      <c r="T28" s="533"/>
      <c r="U28" s="533"/>
      <c r="V28" s="533"/>
      <c r="W28" s="536"/>
      <c r="X28" s="536"/>
      <c r="Y28" s="536"/>
      <c r="Z28" s="539"/>
      <c r="AA28" s="542"/>
      <c r="AB28" s="175" t="s">
        <v>221</v>
      </c>
      <c r="AC28" s="172"/>
      <c r="AD28" s="172"/>
      <c r="AE28" s="172"/>
      <c r="AF28" s="172"/>
      <c r="AG28" s="172"/>
      <c r="AH28" s="172"/>
      <c r="AI28" s="172"/>
      <c r="AJ28" s="172"/>
      <c r="AK28" s="172"/>
      <c r="AL28" s="172"/>
      <c r="AM28" s="172"/>
      <c r="AN28" s="172"/>
      <c r="AO28" s="172"/>
      <c r="AP28" s="172"/>
      <c r="AQ28" s="173">
        <f t="shared" si="5"/>
        <v>0</v>
      </c>
      <c r="AR28" s="174">
        <f t="shared" si="4"/>
        <v>0</v>
      </c>
      <c r="AS28" s="168">
        <f t="shared" si="1"/>
        <v>0</v>
      </c>
      <c r="AT28" s="168">
        <f t="shared" si="1"/>
        <v>0</v>
      </c>
      <c r="AU28" s="168">
        <f t="shared" si="2"/>
        <v>0</v>
      </c>
      <c r="AV28" s="157"/>
      <c r="AW28" s="168">
        <f>+'[1]Metas'!S28:S46-S28</f>
        <v>0</v>
      </c>
      <c r="AX28" s="168">
        <f>+'[1]Metas'!T28:T46-T28</f>
        <v>0</v>
      </c>
      <c r="AY28" s="168">
        <f>+'[1]Metas'!U28:U46-U28</f>
        <v>0</v>
      </c>
      <c r="AZ28" s="168">
        <f>+'[1]Metas'!V28:V46-V28</f>
        <v>0</v>
      </c>
      <c r="BA28" s="157"/>
      <c r="BB28" s="169"/>
      <c r="BC28" s="169"/>
      <c r="BD28" s="169"/>
      <c r="BE28" s="169"/>
      <c r="BF28" s="169"/>
      <c r="BG28" s="169"/>
      <c r="BK28" s="157"/>
      <c r="BL28" s="157"/>
      <c r="BM28" s="157"/>
      <c r="BN28" s="157"/>
      <c r="BO28" s="157"/>
      <c r="BP28" s="157"/>
      <c r="BQ28" s="157"/>
      <c r="BR28" s="157"/>
      <c r="BS28" s="157"/>
      <c r="BT28" s="157"/>
      <c r="BU28" s="157"/>
      <c r="BV28" s="157"/>
      <c r="BW28" s="157"/>
      <c r="BX28" s="157"/>
      <c r="BY28" s="157"/>
      <c r="BZ28" s="157"/>
      <c r="CA28" s="157"/>
      <c r="CB28" s="157"/>
    </row>
    <row r="29" spans="1:80" s="170" customFormat="1" ht="11.25" customHeight="1">
      <c r="A29" s="163"/>
      <c r="B29" s="163"/>
      <c r="C29" s="163"/>
      <c r="D29" s="163"/>
      <c r="E29" s="163"/>
      <c r="F29" s="163"/>
      <c r="G29" s="164"/>
      <c r="H29" s="440"/>
      <c r="I29" s="523"/>
      <c r="J29" s="397"/>
      <c r="K29" s="397"/>
      <c r="L29" s="397"/>
      <c r="M29" s="397"/>
      <c r="N29" s="397"/>
      <c r="O29" s="527"/>
      <c r="P29" s="530"/>
      <c r="Q29" s="533"/>
      <c r="R29" s="533"/>
      <c r="S29" s="533"/>
      <c r="T29" s="533"/>
      <c r="U29" s="533"/>
      <c r="V29" s="533"/>
      <c r="W29" s="536"/>
      <c r="X29" s="536"/>
      <c r="Y29" s="536"/>
      <c r="Z29" s="539"/>
      <c r="AA29" s="542"/>
      <c r="AB29" s="175" t="s">
        <v>222</v>
      </c>
      <c r="AC29" s="172"/>
      <c r="AD29" s="172"/>
      <c r="AE29" s="172"/>
      <c r="AF29" s="172"/>
      <c r="AG29" s="172"/>
      <c r="AH29" s="172"/>
      <c r="AI29" s="172"/>
      <c r="AJ29" s="172"/>
      <c r="AK29" s="172"/>
      <c r="AL29" s="172"/>
      <c r="AM29" s="172"/>
      <c r="AN29" s="172"/>
      <c r="AO29" s="172"/>
      <c r="AP29" s="172"/>
      <c r="AQ29" s="173">
        <f t="shared" si="5"/>
        <v>0</v>
      </c>
      <c r="AR29" s="174">
        <f t="shared" si="4"/>
        <v>0</v>
      </c>
      <c r="AS29" s="168">
        <f t="shared" si="1"/>
        <v>0</v>
      </c>
      <c r="AT29" s="168">
        <f t="shared" si="1"/>
        <v>0</v>
      </c>
      <c r="AU29" s="168">
        <f t="shared" si="2"/>
        <v>0</v>
      </c>
      <c r="AV29" s="157"/>
      <c r="AW29" s="168">
        <f>+'[1]Metas'!S29:S47-S29</f>
        <v>0</v>
      </c>
      <c r="AX29" s="168">
        <f>+'[1]Metas'!T29:T47-T29</f>
        <v>0</v>
      </c>
      <c r="AY29" s="168">
        <f>+'[1]Metas'!U29:U47-U29</f>
        <v>0</v>
      </c>
      <c r="AZ29" s="168">
        <f>+'[1]Metas'!V29:V47-V29</f>
        <v>0</v>
      </c>
      <c r="BA29" s="157"/>
      <c r="BB29" s="169"/>
      <c r="BC29" s="169"/>
      <c r="BD29" s="169"/>
      <c r="BE29" s="169"/>
      <c r="BF29" s="169"/>
      <c r="BG29" s="169"/>
      <c r="BK29" s="157"/>
      <c r="BL29" s="157"/>
      <c r="BM29" s="157"/>
      <c r="BN29" s="157"/>
      <c r="BO29" s="157"/>
      <c r="BP29" s="157"/>
      <c r="BQ29" s="157"/>
      <c r="BR29" s="157"/>
      <c r="BS29" s="157"/>
      <c r="BT29" s="157"/>
      <c r="BU29" s="157"/>
      <c r="BV29" s="157"/>
      <c r="BW29" s="157"/>
      <c r="BX29" s="157"/>
      <c r="BY29" s="157"/>
      <c r="BZ29" s="157"/>
      <c r="CA29" s="157"/>
      <c r="CB29" s="157"/>
    </row>
    <row r="30" spans="1:80" s="170" customFormat="1" ht="11.25" customHeight="1">
      <c r="A30" s="163"/>
      <c r="B30" s="163"/>
      <c r="C30" s="163"/>
      <c r="D30" s="163"/>
      <c r="E30" s="163"/>
      <c r="F30" s="163"/>
      <c r="G30" s="164"/>
      <c r="H30" s="440"/>
      <c r="I30" s="523"/>
      <c r="J30" s="397"/>
      <c r="K30" s="397"/>
      <c r="L30" s="397"/>
      <c r="M30" s="397"/>
      <c r="N30" s="397"/>
      <c r="O30" s="527"/>
      <c r="P30" s="530"/>
      <c r="Q30" s="533"/>
      <c r="R30" s="533"/>
      <c r="S30" s="533"/>
      <c r="T30" s="533"/>
      <c r="U30" s="533"/>
      <c r="V30" s="533"/>
      <c r="W30" s="536"/>
      <c r="X30" s="536"/>
      <c r="Y30" s="536"/>
      <c r="Z30" s="539"/>
      <c r="AA30" s="542"/>
      <c r="AB30" s="175" t="s">
        <v>223</v>
      </c>
      <c r="AC30" s="172"/>
      <c r="AD30" s="172"/>
      <c r="AE30" s="172"/>
      <c r="AF30" s="172"/>
      <c r="AG30" s="172"/>
      <c r="AH30" s="172"/>
      <c r="AI30" s="172"/>
      <c r="AJ30" s="172"/>
      <c r="AK30" s="172"/>
      <c r="AL30" s="172"/>
      <c r="AM30" s="172"/>
      <c r="AN30" s="172"/>
      <c r="AO30" s="172"/>
      <c r="AP30" s="172"/>
      <c r="AQ30" s="173">
        <f t="shared" si="5"/>
        <v>0</v>
      </c>
      <c r="AR30" s="174">
        <f t="shared" si="4"/>
        <v>0</v>
      </c>
      <c r="AS30" s="168">
        <f t="shared" si="1"/>
        <v>0</v>
      </c>
      <c r="AT30" s="168">
        <f t="shared" si="1"/>
        <v>0</v>
      </c>
      <c r="AU30" s="168">
        <f t="shared" si="2"/>
        <v>0</v>
      </c>
      <c r="AV30" s="157"/>
      <c r="AW30" s="168">
        <f>+'[1]Metas'!S30:S48-S30</f>
        <v>0</v>
      </c>
      <c r="AX30" s="168">
        <f>+'[1]Metas'!T30:T48-T30</f>
        <v>0</v>
      </c>
      <c r="AY30" s="168">
        <f>+'[1]Metas'!U30:U48-U30</f>
        <v>0</v>
      </c>
      <c r="AZ30" s="168">
        <f>+'[1]Metas'!V30:V48-V30</f>
        <v>0</v>
      </c>
      <c r="BA30" s="157"/>
      <c r="BB30" s="169"/>
      <c r="BC30" s="169"/>
      <c r="BD30" s="169"/>
      <c r="BE30" s="169"/>
      <c r="BF30" s="169"/>
      <c r="BG30" s="169"/>
      <c r="BK30" s="157"/>
      <c r="BL30" s="157"/>
      <c r="BM30" s="157"/>
      <c r="BN30" s="157"/>
      <c r="BO30" s="157"/>
      <c r="BP30" s="157"/>
      <c r="BQ30" s="157"/>
      <c r="BR30" s="157"/>
      <c r="BS30" s="157"/>
      <c r="BT30" s="157"/>
      <c r="BU30" s="157"/>
      <c r="BV30" s="157"/>
      <c r="BW30" s="157"/>
      <c r="BX30" s="157"/>
      <c r="BY30" s="157"/>
      <c r="BZ30" s="157"/>
      <c r="CA30" s="157"/>
      <c r="CB30" s="157"/>
    </row>
    <row r="31" spans="1:80" s="170" customFormat="1" ht="11.25" customHeight="1">
      <c r="A31" s="163"/>
      <c r="B31" s="163"/>
      <c r="C31" s="163"/>
      <c r="D31" s="163"/>
      <c r="E31" s="163"/>
      <c r="F31" s="163"/>
      <c r="G31" s="164"/>
      <c r="H31" s="440"/>
      <c r="I31" s="523"/>
      <c r="J31" s="397"/>
      <c r="K31" s="397"/>
      <c r="L31" s="397"/>
      <c r="M31" s="397"/>
      <c r="N31" s="397"/>
      <c r="O31" s="527"/>
      <c r="P31" s="530"/>
      <c r="Q31" s="533"/>
      <c r="R31" s="533"/>
      <c r="S31" s="533"/>
      <c r="T31" s="533"/>
      <c r="U31" s="533"/>
      <c r="V31" s="533"/>
      <c r="W31" s="536"/>
      <c r="X31" s="536"/>
      <c r="Y31" s="536"/>
      <c r="Z31" s="539"/>
      <c r="AA31" s="542"/>
      <c r="AB31" s="175" t="s">
        <v>224</v>
      </c>
      <c r="AC31" s="172"/>
      <c r="AD31" s="172"/>
      <c r="AE31" s="172"/>
      <c r="AF31" s="172"/>
      <c r="AG31" s="172"/>
      <c r="AH31" s="172"/>
      <c r="AI31" s="172"/>
      <c r="AJ31" s="172"/>
      <c r="AK31" s="172"/>
      <c r="AL31" s="172"/>
      <c r="AM31" s="172"/>
      <c r="AN31" s="172"/>
      <c r="AO31" s="172"/>
      <c r="AP31" s="172"/>
      <c r="AQ31" s="173">
        <f t="shared" si="5"/>
        <v>0</v>
      </c>
      <c r="AR31" s="174">
        <f t="shared" si="4"/>
        <v>0</v>
      </c>
      <c r="AS31" s="168">
        <f t="shared" si="1"/>
        <v>0</v>
      </c>
      <c r="AT31" s="168">
        <f t="shared" si="1"/>
        <v>0</v>
      </c>
      <c r="AU31" s="168">
        <f t="shared" si="2"/>
        <v>0</v>
      </c>
      <c r="AV31" s="157"/>
      <c r="AW31" s="168">
        <f>+'[1]Metas'!S31:S49-S31</f>
        <v>0</v>
      </c>
      <c r="AX31" s="168">
        <f>+'[1]Metas'!T31:T49-T31</f>
        <v>0</v>
      </c>
      <c r="AY31" s="168">
        <f>+'[1]Metas'!U31:U49-U31</f>
        <v>0</v>
      </c>
      <c r="AZ31" s="168">
        <f>+'[1]Metas'!V31:V49-V31</f>
        <v>0</v>
      </c>
      <c r="BA31" s="157"/>
      <c r="BB31" s="169"/>
      <c r="BC31" s="169"/>
      <c r="BD31" s="169"/>
      <c r="BE31" s="169"/>
      <c r="BF31" s="169"/>
      <c r="BG31" s="169"/>
      <c r="BK31" s="157"/>
      <c r="BL31" s="157"/>
      <c r="BM31" s="157"/>
      <c r="BN31" s="157"/>
      <c r="BO31" s="157"/>
      <c r="BP31" s="157"/>
      <c r="BQ31" s="157"/>
      <c r="BR31" s="157"/>
      <c r="BS31" s="157"/>
      <c r="BT31" s="157"/>
      <c r="BU31" s="157"/>
      <c r="BV31" s="157"/>
      <c r="BW31" s="157"/>
      <c r="BX31" s="157"/>
      <c r="BY31" s="157"/>
      <c r="BZ31" s="157"/>
      <c r="CA31" s="157"/>
      <c r="CB31" s="157"/>
    </row>
    <row r="32" spans="1:80" s="170" customFormat="1" ht="11.25" customHeight="1">
      <c r="A32" s="163"/>
      <c r="B32" s="163"/>
      <c r="C32" s="163"/>
      <c r="D32" s="163"/>
      <c r="E32" s="163"/>
      <c r="F32" s="163"/>
      <c r="G32" s="164"/>
      <c r="H32" s="440"/>
      <c r="I32" s="523"/>
      <c r="J32" s="397"/>
      <c r="K32" s="397"/>
      <c r="L32" s="397"/>
      <c r="M32" s="397"/>
      <c r="N32" s="397"/>
      <c r="O32" s="527"/>
      <c r="P32" s="530"/>
      <c r="Q32" s="533"/>
      <c r="R32" s="533"/>
      <c r="S32" s="533"/>
      <c r="T32" s="533"/>
      <c r="U32" s="533"/>
      <c r="V32" s="533"/>
      <c r="W32" s="536"/>
      <c r="X32" s="536"/>
      <c r="Y32" s="536"/>
      <c r="Z32" s="539"/>
      <c r="AA32" s="542"/>
      <c r="AB32" s="175"/>
      <c r="AC32" s="172"/>
      <c r="AD32" s="172"/>
      <c r="AE32" s="172"/>
      <c r="AF32" s="172"/>
      <c r="AG32" s="172"/>
      <c r="AH32" s="172"/>
      <c r="AI32" s="172"/>
      <c r="AJ32" s="172"/>
      <c r="AK32" s="172"/>
      <c r="AL32" s="172"/>
      <c r="AM32" s="172"/>
      <c r="AN32" s="172"/>
      <c r="AO32" s="172"/>
      <c r="AP32" s="172"/>
      <c r="AQ32" s="173"/>
      <c r="AR32" s="174"/>
      <c r="AS32" s="168"/>
      <c r="AT32" s="168"/>
      <c r="AU32" s="168"/>
      <c r="AV32" s="157"/>
      <c r="AW32" s="168"/>
      <c r="AX32" s="168"/>
      <c r="AY32" s="168"/>
      <c r="AZ32" s="168"/>
      <c r="BA32" s="157"/>
      <c r="BB32" s="169"/>
      <c r="BC32" s="169"/>
      <c r="BD32" s="169"/>
      <c r="BE32" s="169"/>
      <c r="BF32" s="169"/>
      <c r="BG32" s="169"/>
      <c r="BK32" s="157"/>
      <c r="BL32" s="157"/>
      <c r="BM32" s="157"/>
      <c r="BN32" s="157"/>
      <c r="BO32" s="157"/>
      <c r="BP32" s="157"/>
      <c r="BQ32" s="157"/>
      <c r="BR32" s="157"/>
      <c r="BS32" s="157"/>
      <c r="BT32" s="157"/>
      <c r="BU32" s="157"/>
      <c r="BV32" s="157"/>
      <c r="BW32" s="157"/>
      <c r="BX32" s="157"/>
      <c r="BY32" s="157"/>
      <c r="BZ32" s="157"/>
      <c r="CA32" s="157"/>
      <c r="CB32" s="157"/>
    </row>
    <row r="33" spans="1:80" s="170" customFormat="1" ht="11.25" customHeight="1">
      <c r="A33" s="163"/>
      <c r="B33" s="163"/>
      <c r="C33" s="163"/>
      <c r="D33" s="163"/>
      <c r="E33" s="163"/>
      <c r="F33" s="163"/>
      <c r="G33" s="164"/>
      <c r="H33" s="440"/>
      <c r="I33" s="523"/>
      <c r="J33" s="397"/>
      <c r="K33" s="397"/>
      <c r="L33" s="397"/>
      <c r="M33" s="397"/>
      <c r="N33" s="397"/>
      <c r="O33" s="527"/>
      <c r="P33" s="530"/>
      <c r="Q33" s="533"/>
      <c r="R33" s="533"/>
      <c r="S33" s="533"/>
      <c r="T33" s="533"/>
      <c r="U33" s="533"/>
      <c r="V33" s="533"/>
      <c r="W33" s="536"/>
      <c r="X33" s="536"/>
      <c r="Y33" s="536"/>
      <c r="Z33" s="539"/>
      <c r="AA33" s="542"/>
      <c r="AB33" s="175"/>
      <c r="AC33" s="172"/>
      <c r="AD33" s="172"/>
      <c r="AE33" s="172"/>
      <c r="AF33" s="172"/>
      <c r="AG33" s="172"/>
      <c r="AH33" s="172"/>
      <c r="AI33" s="172"/>
      <c r="AJ33" s="172"/>
      <c r="AK33" s="172"/>
      <c r="AL33" s="172"/>
      <c r="AM33" s="172"/>
      <c r="AN33" s="172"/>
      <c r="AO33" s="172"/>
      <c r="AP33" s="172"/>
      <c r="AQ33" s="173"/>
      <c r="AR33" s="174"/>
      <c r="AS33" s="168"/>
      <c r="AT33" s="168"/>
      <c r="AU33" s="168"/>
      <c r="AV33" s="157"/>
      <c r="AW33" s="168"/>
      <c r="AX33" s="168"/>
      <c r="AY33" s="168"/>
      <c r="AZ33" s="168"/>
      <c r="BA33" s="157"/>
      <c r="BB33" s="169"/>
      <c r="BC33" s="169"/>
      <c r="BD33" s="169"/>
      <c r="BE33" s="169"/>
      <c r="BF33" s="169"/>
      <c r="BG33" s="169"/>
      <c r="BK33" s="157"/>
      <c r="BL33" s="157"/>
      <c r="BM33" s="157"/>
      <c r="BN33" s="157"/>
      <c r="BO33" s="157"/>
      <c r="BP33" s="157"/>
      <c r="BQ33" s="157"/>
      <c r="BR33" s="157"/>
      <c r="BS33" s="157"/>
      <c r="BT33" s="157"/>
      <c r="BU33" s="157"/>
      <c r="BV33" s="157"/>
      <c r="BW33" s="157"/>
      <c r="BX33" s="157"/>
      <c r="BY33" s="157"/>
      <c r="BZ33" s="157"/>
      <c r="CA33" s="157"/>
      <c r="CB33" s="157"/>
    </row>
    <row r="34" spans="1:80" s="170" customFormat="1" ht="11.25" customHeight="1">
      <c r="A34" s="163"/>
      <c r="B34" s="163"/>
      <c r="C34" s="163"/>
      <c r="D34" s="163"/>
      <c r="E34" s="163"/>
      <c r="F34" s="163"/>
      <c r="G34" s="164"/>
      <c r="H34" s="440"/>
      <c r="I34" s="523"/>
      <c r="J34" s="397"/>
      <c r="K34" s="397"/>
      <c r="L34" s="397"/>
      <c r="M34" s="397"/>
      <c r="N34" s="397"/>
      <c r="O34" s="527"/>
      <c r="P34" s="530"/>
      <c r="Q34" s="533"/>
      <c r="R34" s="533"/>
      <c r="S34" s="533"/>
      <c r="T34" s="533"/>
      <c r="U34" s="533"/>
      <c r="V34" s="533"/>
      <c r="W34" s="536"/>
      <c r="X34" s="536"/>
      <c r="Y34" s="536"/>
      <c r="Z34" s="539"/>
      <c r="AA34" s="542"/>
      <c r="AB34" s="175"/>
      <c r="AC34" s="172"/>
      <c r="AD34" s="172"/>
      <c r="AE34" s="172"/>
      <c r="AF34" s="172"/>
      <c r="AG34" s="172"/>
      <c r="AH34" s="172"/>
      <c r="AI34" s="172"/>
      <c r="AJ34" s="172"/>
      <c r="AK34" s="172"/>
      <c r="AL34" s="172"/>
      <c r="AM34" s="172"/>
      <c r="AN34" s="172"/>
      <c r="AO34" s="172"/>
      <c r="AP34" s="172"/>
      <c r="AQ34" s="173"/>
      <c r="AR34" s="174"/>
      <c r="AS34" s="168"/>
      <c r="AT34" s="168"/>
      <c r="AU34" s="168"/>
      <c r="AV34" s="157"/>
      <c r="AW34" s="168"/>
      <c r="AX34" s="168"/>
      <c r="AY34" s="168"/>
      <c r="AZ34" s="168"/>
      <c r="BA34" s="157"/>
      <c r="BB34" s="169"/>
      <c r="BC34" s="169"/>
      <c r="BD34" s="169"/>
      <c r="BE34" s="169"/>
      <c r="BF34" s="169"/>
      <c r="BG34" s="169"/>
      <c r="BK34" s="157"/>
      <c r="BL34" s="157"/>
      <c r="BM34" s="157"/>
      <c r="BN34" s="157"/>
      <c r="BO34" s="157"/>
      <c r="BP34" s="157"/>
      <c r="BQ34" s="157"/>
      <c r="BR34" s="157"/>
      <c r="BS34" s="157"/>
      <c r="BT34" s="157"/>
      <c r="BU34" s="157"/>
      <c r="BV34" s="157"/>
      <c r="BW34" s="157"/>
      <c r="BX34" s="157"/>
      <c r="BY34" s="157"/>
      <c r="BZ34" s="157"/>
      <c r="CA34" s="157"/>
      <c r="CB34" s="157"/>
    </row>
    <row r="35" spans="1:80" s="170" customFormat="1" ht="11.25" customHeight="1">
      <c r="A35" s="163"/>
      <c r="B35" s="163"/>
      <c r="C35" s="163"/>
      <c r="D35" s="163"/>
      <c r="E35" s="163"/>
      <c r="F35" s="163"/>
      <c r="G35" s="164"/>
      <c r="H35" s="440"/>
      <c r="I35" s="523"/>
      <c r="J35" s="397"/>
      <c r="K35" s="397"/>
      <c r="L35" s="397"/>
      <c r="M35" s="397"/>
      <c r="N35" s="397"/>
      <c r="O35" s="527"/>
      <c r="P35" s="530"/>
      <c r="Q35" s="533"/>
      <c r="R35" s="533"/>
      <c r="S35" s="533"/>
      <c r="T35" s="533"/>
      <c r="U35" s="533"/>
      <c r="V35" s="533"/>
      <c r="W35" s="536"/>
      <c r="X35" s="536"/>
      <c r="Y35" s="536"/>
      <c r="Z35" s="539"/>
      <c r="AA35" s="542"/>
      <c r="AB35" s="175"/>
      <c r="AC35" s="172"/>
      <c r="AD35" s="172"/>
      <c r="AE35" s="172"/>
      <c r="AF35" s="172"/>
      <c r="AG35" s="172"/>
      <c r="AH35" s="172"/>
      <c r="AI35" s="172"/>
      <c r="AJ35" s="172"/>
      <c r="AK35" s="172"/>
      <c r="AL35" s="172"/>
      <c r="AM35" s="172"/>
      <c r="AN35" s="172"/>
      <c r="AO35" s="172"/>
      <c r="AP35" s="172"/>
      <c r="AQ35" s="173"/>
      <c r="AR35" s="174"/>
      <c r="AS35" s="168"/>
      <c r="AT35" s="168"/>
      <c r="AU35" s="168"/>
      <c r="AV35" s="157"/>
      <c r="AW35" s="168"/>
      <c r="AX35" s="168"/>
      <c r="AY35" s="168"/>
      <c r="AZ35" s="168"/>
      <c r="BA35" s="157"/>
      <c r="BB35" s="169"/>
      <c r="BC35" s="169"/>
      <c r="BD35" s="169"/>
      <c r="BE35" s="169"/>
      <c r="BF35" s="169"/>
      <c r="BG35" s="169"/>
      <c r="BK35" s="157"/>
      <c r="BL35" s="157"/>
      <c r="BM35" s="157"/>
      <c r="BN35" s="157"/>
      <c r="BO35" s="157"/>
      <c r="BP35" s="157"/>
      <c r="BQ35" s="157"/>
      <c r="BR35" s="157"/>
      <c r="BS35" s="157"/>
      <c r="BT35" s="157"/>
      <c r="BU35" s="157"/>
      <c r="BV35" s="157"/>
      <c r="BW35" s="157"/>
      <c r="BX35" s="157"/>
      <c r="BY35" s="157"/>
      <c r="BZ35" s="157"/>
      <c r="CA35" s="157"/>
      <c r="CB35" s="157"/>
    </row>
    <row r="36" spans="1:80" s="170" customFormat="1" ht="11.25" customHeight="1">
      <c r="A36" s="163"/>
      <c r="B36" s="163"/>
      <c r="C36" s="163"/>
      <c r="D36" s="163"/>
      <c r="E36" s="163"/>
      <c r="F36" s="163"/>
      <c r="G36" s="164"/>
      <c r="H36" s="440"/>
      <c r="I36" s="523"/>
      <c r="J36" s="397"/>
      <c r="K36" s="397"/>
      <c r="L36" s="397"/>
      <c r="M36" s="397"/>
      <c r="N36" s="397"/>
      <c r="O36" s="527"/>
      <c r="P36" s="530"/>
      <c r="Q36" s="533"/>
      <c r="R36" s="533"/>
      <c r="S36" s="533"/>
      <c r="T36" s="533"/>
      <c r="U36" s="533"/>
      <c r="V36" s="533"/>
      <c r="W36" s="536"/>
      <c r="X36" s="536"/>
      <c r="Y36" s="536"/>
      <c r="Z36" s="539"/>
      <c r="AA36" s="542"/>
      <c r="AB36" s="175" t="s">
        <v>225</v>
      </c>
      <c r="AC36" s="172"/>
      <c r="AD36" s="172"/>
      <c r="AE36" s="172"/>
      <c r="AF36" s="172"/>
      <c r="AG36" s="172"/>
      <c r="AH36" s="172"/>
      <c r="AI36" s="172"/>
      <c r="AJ36" s="172"/>
      <c r="AK36" s="172"/>
      <c r="AL36" s="172"/>
      <c r="AM36" s="172"/>
      <c r="AN36" s="172"/>
      <c r="AO36" s="172"/>
      <c r="AP36" s="172"/>
      <c r="AQ36" s="173">
        <f t="shared" si="5"/>
        <v>0</v>
      </c>
      <c r="AR36" s="174">
        <f t="shared" si="4"/>
        <v>0</v>
      </c>
      <c r="AS36" s="168">
        <f t="shared" si="1"/>
        <v>0</v>
      </c>
      <c r="AT36" s="168">
        <f t="shared" si="1"/>
        <v>0</v>
      </c>
      <c r="AU36" s="168">
        <f t="shared" si="2"/>
        <v>0</v>
      </c>
      <c r="AV36" s="157"/>
      <c r="AW36" s="168">
        <f>+'[1]Metas'!S32:S50-S36</f>
        <v>1003271320</v>
      </c>
      <c r="AX36" s="168">
        <f>+'[1]Metas'!T32:T50-T36</f>
        <v>259357234</v>
      </c>
      <c r="AY36" s="168">
        <f>+'[1]Metas'!U32:U50-U36</f>
        <v>150149432</v>
      </c>
      <c r="AZ36" s="168">
        <f>+'[1]Metas'!V32:V50-V36</f>
        <v>150149432</v>
      </c>
      <c r="BA36" s="157"/>
      <c r="BB36" s="169"/>
      <c r="BC36" s="169"/>
      <c r="BD36" s="169"/>
      <c r="BE36" s="169"/>
      <c r="BF36" s="169"/>
      <c r="BG36" s="169"/>
      <c r="BK36" s="157"/>
      <c r="BL36" s="157"/>
      <c r="BM36" s="157"/>
      <c r="BN36" s="157"/>
      <c r="BO36" s="157"/>
      <c r="BP36" s="157"/>
      <c r="BQ36" s="157"/>
      <c r="BR36" s="157"/>
      <c r="BS36" s="157"/>
      <c r="BT36" s="157"/>
      <c r="BU36" s="157"/>
      <c r="BV36" s="157"/>
      <c r="BW36" s="157"/>
      <c r="BX36" s="157"/>
      <c r="BY36" s="157"/>
      <c r="BZ36" s="157"/>
      <c r="CA36" s="157"/>
      <c r="CB36" s="157"/>
    </row>
    <row r="37" spans="1:80" s="170" customFormat="1" ht="11.25" customHeight="1">
      <c r="A37" s="163"/>
      <c r="B37" s="163"/>
      <c r="C37" s="163"/>
      <c r="D37" s="163"/>
      <c r="E37" s="163"/>
      <c r="F37" s="163"/>
      <c r="G37" s="164"/>
      <c r="H37" s="440"/>
      <c r="I37" s="523"/>
      <c r="J37" s="397"/>
      <c r="K37" s="397"/>
      <c r="L37" s="397"/>
      <c r="M37" s="397"/>
      <c r="N37" s="397"/>
      <c r="O37" s="527"/>
      <c r="P37" s="530"/>
      <c r="Q37" s="533"/>
      <c r="R37" s="533"/>
      <c r="S37" s="533"/>
      <c r="T37" s="533"/>
      <c r="U37" s="533"/>
      <c r="V37" s="533"/>
      <c r="W37" s="536"/>
      <c r="X37" s="536"/>
      <c r="Y37" s="536"/>
      <c r="Z37" s="539"/>
      <c r="AA37" s="542"/>
      <c r="AB37" s="176" t="s">
        <v>226</v>
      </c>
      <c r="AC37" s="177">
        <f aca="true" t="shared" si="6" ref="AC37:AR37">SUM(AC27:AC36)+IF(AC25=0,AC26,AC25)</f>
        <v>0</v>
      </c>
      <c r="AD37" s="177">
        <f t="shared" si="6"/>
        <v>0</v>
      </c>
      <c r="AE37" s="177">
        <f t="shared" si="6"/>
        <v>0</v>
      </c>
      <c r="AF37" s="177">
        <f t="shared" si="6"/>
        <v>0</v>
      </c>
      <c r="AG37" s="177">
        <f t="shared" si="6"/>
        <v>0</v>
      </c>
      <c r="AH37" s="177">
        <f t="shared" si="6"/>
        <v>0</v>
      </c>
      <c r="AI37" s="177">
        <f t="shared" si="6"/>
        <v>0</v>
      </c>
      <c r="AJ37" s="177">
        <f t="shared" si="6"/>
        <v>0</v>
      </c>
      <c r="AK37" s="177">
        <f t="shared" si="6"/>
        <v>0</v>
      </c>
      <c r="AL37" s="177">
        <f t="shared" si="6"/>
        <v>0</v>
      </c>
      <c r="AM37" s="177">
        <f t="shared" si="6"/>
        <v>0</v>
      </c>
      <c r="AN37" s="177">
        <f t="shared" si="6"/>
        <v>0</v>
      </c>
      <c r="AO37" s="177">
        <f t="shared" si="6"/>
        <v>0</v>
      </c>
      <c r="AP37" s="177">
        <f t="shared" si="6"/>
        <v>0</v>
      </c>
      <c r="AQ37" s="177">
        <f t="shared" si="6"/>
        <v>0</v>
      </c>
      <c r="AR37" s="178">
        <f t="shared" si="6"/>
        <v>0</v>
      </c>
      <c r="AS37" s="168">
        <f t="shared" si="1"/>
        <v>0</v>
      </c>
      <c r="AT37" s="168">
        <f t="shared" si="1"/>
        <v>0</v>
      </c>
      <c r="AU37" s="168">
        <f t="shared" si="2"/>
        <v>0</v>
      </c>
      <c r="AV37" s="157"/>
      <c r="AW37" s="168">
        <f>+'[1]Metas'!S33:S51-S37</f>
        <v>0</v>
      </c>
      <c r="AX37" s="168">
        <f>+'[1]Metas'!T33:T51-T37</f>
        <v>0</v>
      </c>
      <c r="AY37" s="168">
        <f>+'[1]Metas'!U33:U51-U37</f>
        <v>0</v>
      </c>
      <c r="AZ37" s="168">
        <f>+'[1]Metas'!V33:V51-V37</f>
        <v>0</v>
      </c>
      <c r="BA37" s="157"/>
      <c r="BB37" s="169"/>
      <c r="BC37" s="169"/>
      <c r="BD37" s="169"/>
      <c r="BE37" s="169"/>
      <c r="BF37" s="169"/>
      <c r="BG37" s="169"/>
      <c r="BK37" s="157"/>
      <c r="BL37" s="157"/>
      <c r="BM37" s="157"/>
      <c r="BN37" s="157"/>
      <c r="BO37" s="157"/>
      <c r="BP37" s="157"/>
      <c r="BQ37" s="157"/>
      <c r="BR37" s="157"/>
      <c r="BS37" s="157"/>
      <c r="BT37" s="157"/>
      <c r="BU37" s="157"/>
      <c r="BV37" s="157"/>
      <c r="BW37" s="157"/>
      <c r="BX37" s="157"/>
      <c r="BY37" s="157"/>
      <c r="BZ37" s="157"/>
      <c r="CA37" s="157"/>
      <c r="CB37" s="157"/>
    </row>
    <row r="38" spans="1:80" s="170" customFormat="1" ht="11.25" customHeight="1">
      <c r="A38" s="163"/>
      <c r="B38" s="163"/>
      <c r="C38" s="163"/>
      <c r="D38" s="163"/>
      <c r="E38" s="163"/>
      <c r="F38" s="163"/>
      <c r="G38" s="164"/>
      <c r="H38" s="440"/>
      <c r="I38" s="523"/>
      <c r="J38" s="397"/>
      <c r="K38" s="397"/>
      <c r="L38" s="397"/>
      <c r="M38" s="397"/>
      <c r="N38" s="397"/>
      <c r="O38" s="527"/>
      <c r="P38" s="530"/>
      <c r="Q38" s="533"/>
      <c r="R38" s="533"/>
      <c r="S38" s="533"/>
      <c r="T38" s="533"/>
      <c r="U38" s="533"/>
      <c r="V38" s="533"/>
      <c r="W38" s="536"/>
      <c r="X38" s="536"/>
      <c r="Y38" s="536"/>
      <c r="Z38" s="539"/>
      <c r="AA38" s="542"/>
      <c r="AB38" s="179"/>
      <c r="AC38" s="180"/>
      <c r="AD38" s="180"/>
      <c r="AE38" s="180"/>
      <c r="AF38" s="180"/>
      <c r="AG38" s="180"/>
      <c r="AH38" s="180"/>
      <c r="AI38" s="180"/>
      <c r="AJ38" s="180"/>
      <c r="AK38" s="180"/>
      <c r="AL38" s="180"/>
      <c r="AM38" s="180"/>
      <c r="AN38" s="180"/>
      <c r="AO38" s="180"/>
      <c r="AP38" s="180"/>
      <c r="AQ38" s="180"/>
      <c r="AR38" s="181"/>
      <c r="AS38" s="168"/>
      <c r="AT38" s="168"/>
      <c r="AU38" s="168"/>
      <c r="AV38" s="157"/>
      <c r="AW38" s="168"/>
      <c r="AX38" s="168"/>
      <c r="AY38" s="168"/>
      <c r="AZ38" s="168"/>
      <c r="BA38" s="157"/>
      <c r="BB38" s="169"/>
      <c r="BC38" s="169"/>
      <c r="BD38" s="169"/>
      <c r="BE38" s="169"/>
      <c r="BF38" s="169"/>
      <c r="BG38" s="169"/>
      <c r="BK38" s="157"/>
      <c r="BL38" s="157"/>
      <c r="BM38" s="157"/>
      <c r="BN38" s="157"/>
      <c r="BO38" s="157"/>
      <c r="BP38" s="157"/>
      <c r="BQ38" s="157"/>
      <c r="BR38" s="157"/>
      <c r="BS38" s="157"/>
      <c r="BT38" s="157"/>
      <c r="BU38" s="157"/>
      <c r="BV38" s="157"/>
      <c r="BW38" s="157"/>
      <c r="BX38" s="157"/>
      <c r="BY38" s="157"/>
      <c r="BZ38" s="157"/>
      <c r="CA38" s="157"/>
      <c r="CB38" s="157"/>
    </row>
    <row r="39" spans="1:80" s="170" customFormat="1" ht="15.75" customHeight="1" thickBot="1">
      <c r="A39" s="163"/>
      <c r="B39" s="163"/>
      <c r="C39" s="163"/>
      <c r="D39" s="163"/>
      <c r="E39" s="163"/>
      <c r="F39" s="163"/>
      <c r="G39" s="164"/>
      <c r="H39" s="441"/>
      <c r="I39" s="524"/>
      <c r="J39" s="398"/>
      <c r="K39" s="398"/>
      <c r="L39" s="398"/>
      <c r="M39" s="398"/>
      <c r="N39" s="398"/>
      <c r="O39" s="528"/>
      <c r="P39" s="531"/>
      <c r="Q39" s="534"/>
      <c r="R39" s="534"/>
      <c r="S39" s="534"/>
      <c r="T39" s="534"/>
      <c r="U39" s="534"/>
      <c r="V39" s="534"/>
      <c r="W39" s="537"/>
      <c r="X39" s="537"/>
      <c r="Y39" s="537"/>
      <c r="Z39" s="540"/>
      <c r="AA39" s="543"/>
      <c r="AB39" s="182" t="s">
        <v>227</v>
      </c>
      <c r="AC39" s="183"/>
      <c r="AD39" s="183"/>
      <c r="AE39" s="183"/>
      <c r="AF39" s="183"/>
      <c r="AG39" s="183"/>
      <c r="AH39" s="183"/>
      <c r="AI39" s="183"/>
      <c r="AJ39" s="183"/>
      <c r="AK39" s="183"/>
      <c r="AL39" s="183"/>
      <c r="AM39" s="183"/>
      <c r="AN39" s="183"/>
      <c r="AO39" s="183"/>
      <c r="AP39" s="183"/>
      <c r="AQ39" s="184">
        <f>+AC39+AE39+AG39+AI39+AK39+AM39+AO39</f>
        <v>0</v>
      </c>
      <c r="AR39" s="185">
        <f>+AD39+AF39+AH39+AJ39+AL39+AN39+AP39</f>
        <v>0</v>
      </c>
      <c r="AS39" s="168">
        <f t="shared" si="1"/>
        <v>0</v>
      </c>
      <c r="AT39" s="168">
        <f t="shared" si="1"/>
        <v>0</v>
      </c>
      <c r="AU39" s="168">
        <f t="shared" si="2"/>
        <v>0</v>
      </c>
      <c r="AV39" s="157"/>
      <c r="AW39" s="168">
        <f>+'[1]Metas'!S34:S52-S39</f>
        <v>0</v>
      </c>
      <c r="AX39" s="168">
        <f>+'[1]Metas'!T34:T52-T39</f>
        <v>0</v>
      </c>
      <c r="AY39" s="168">
        <f>+'[1]Metas'!U34:U52-U39</f>
        <v>0</v>
      </c>
      <c r="AZ39" s="168">
        <f>+'[1]Metas'!V34:V52-V39</f>
        <v>0</v>
      </c>
      <c r="BA39" s="157"/>
      <c r="BB39" s="169"/>
      <c r="BC39" s="169"/>
      <c r="BD39" s="169"/>
      <c r="BE39" s="169"/>
      <c r="BF39" s="169"/>
      <c r="BG39" s="169"/>
      <c r="BK39" s="157"/>
      <c r="BL39" s="157"/>
      <c r="BM39" s="157"/>
      <c r="BN39" s="157"/>
      <c r="BO39" s="157"/>
      <c r="BP39" s="157"/>
      <c r="BQ39" s="157"/>
      <c r="BR39" s="157"/>
      <c r="BS39" s="157"/>
      <c r="BT39" s="157"/>
      <c r="BU39" s="157"/>
      <c r="BV39" s="157"/>
      <c r="BW39" s="157"/>
      <c r="BX39" s="157"/>
      <c r="BY39" s="157"/>
      <c r="BZ39" s="157"/>
      <c r="CA39" s="157"/>
      <c r="CB39" s="157"/>
    </row>
    <row r="40" spans="7:59" ht="11.25">
      <c r="G40" s="186"/>
      <c r="H40" s="187"/>
      <c r="I40" s="186"/>
      <c r="J40" s="186"/>
      <c r="K40" s="186"/>
      <c r="L40" s="186"/>
      <c r="M40" s="186"/>
      <c r="N40" s="186"/>
      <c r="O40" s="186"/>
      <c r="P40" s="188"/>
      <c r="Q40" s="189">
        <f aca="true" t="shared" si="7" ref="Q40:V40">SUBTOTAL(9,Q19:Q39)</f>
        <v>1000407000</v>
      </c>
      <c r="R40" s="189">
        <f t="shared" si="7"/>
        <v>965391000</v>
      </c>
      <c r="S40" s="189">
        <f t="shared" si="7"/>
        <v>710008000</v>
      </c>
      <c r="T40" s="189">
        <f t="shared" si="7"/>
        <v>187928713.6666667</v>
      </c>
      <c r="U40" s="189">
        <f t="shared" si="7"/>
        <v>106777267</v>
      </c>
      <c r="V40" s="189">
        <f t="shared" si="7"/>
        <v>86360767</v>
      </c>
      <c r="W40" s="186"/>
      <c r="X40" s="186"/>
      <c r="Y40" s="186"/>
      <c r="Z40" s="186"/>
      <c r="AA40" s="186"/>
      <c r="AB40" s="187"/>
      <c r="AC40" s="187"/>
      <c r="AD40" s="187"/>
      <c r="AE40" s="187"/>
      <c r="AF40" s="187"/>
      <c r="AG40" s="187"/>
      <c r="AH40" s="187"/>
      <c r="AI40" s="187"/>
      <c r="AJ40" s="187"/>
      <c r="AK40" s="187"/>
      <c r="AL40" s="187"/>
      <c r="AM40" s="187"/>
      <c r="AN40" s="187"/>
      <c r="AO40" s="187"/>
      <c r="AP40" s="187"/>
      <c r="AQ40" s="187"/>
      <c r="AR40" s="187"/>
      <c r="AS40" s="168">
        <f t="shared" si="1"/>
        <v>255383000</v>
      </c>
      <c r="AT40" s="168">
        <f t="shared" si="1"/>
        <v>522079286.3333333</v>
      </c>
      <c r="AU40" s="168">
        <f t="shared" si="2"/>
        <v>20416500</v>
      </c>
      <c r="AV40" s="157"/>
      <c r="AW40" s="168">
        <f>+'[1]Metas'!S35:S53-S40</f>
        <v>-710008000</v>
      </c>
      <c r="AX40" s="168">
        <f>+'[1]Metas'!T35:T53-T40</f>
        <v>-187928713.6666667</v>
      </c>
      <c r="AY40" s="168">
        <f>+'[1]Metas'!U35:U53-U40</f>
        <v>-106777267</v>
      </c>
      <c r="AZ40" s="168">
        <f>+'[1]Metas'!V35:V53-V40</f>
        <v>-86360767</v>
      </c>
      <c r="BA40" s="157"/>
      <c r="BB40" s="189">
        <f aca="true" t="shared" si="8" ref="BB40:BG40">SUBTOTAL(9,BB19:BB39)</f>
        <v>1000407000</v>
      </c>
      <c r="BC40" s="189">
        <f t="shared" si="8"/>
        <v>965391000</v>
      </c>
      <c r="BD40" s="189">
        <f t="shared" si="8"/>
        <v>710008000</v>
      </c>
      <c r="BE40" s="189">
        <f t="shared" si="8"/>
        <v>187928713.6666667</v>
      </c>
      <c r="BF40" s="189">
        <f t="shared" si="8"/>
        <v>106777267</v>
      </c>
      <c r="BG40" s="189">
        <f t="shared" si="8"/>
        <v>86360767</v>
      </c>
    </row>
    <row r="41" spans="17:59" ht="11.25">
      <c r="Q41" s="190"/>
      <c r="R41" s="190"/>
      <c r="S41" s="190"/>
      <c r="T41" s="190"/>
      <c r="U41" s="190"/>
      <c r="V41" s="190"/>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69"/>
      <c r="BD41" s="169"/>
      <c r="BE41" s="169"/>
      <c r="BF41" s="169"/>
      <c r="BG41" s="169"/>
    </row>
    <row r="42" spans="17:54" ht="11.25">
      <c r="Q42" s="191"/>
      <c r="R42" s="191"/>
      <c r="S42" s="191"/>
      <c r="T42" s="191"/>
      <c r="U42" s="191"/>
      <c r="V42" s="191"/>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row>
    <row r="43" spans="20:54" ht="11.25">
      <c r="T43" s="192"/>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row>
    <row r="44" spans="18:54" ht="11.25">
      <c r="R44" s="193"/>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row>
    <row r="45" spans="28:54" ht="11.25">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row>
    <row r="46" spans="18:54" ht="11.25">
      <c r="R46" s="194"/>
      <c r="S46" s="195"/>
      <c r="T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row>
    <row r="47" spans="18:54" ht="11.25">
      <c r="R47" s="194"/>
      <c r="S47" s="195"/>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row>
    <row r="48" spans="18:54" ht="11.25">
      <c r="R48" s="194"/>
      <c r="S48" s="195"/>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row>
    <row r="49" spans="18:54" ht="11.25">
      <c r="R49" s="194"/>
      <c r="S49" s="195"/>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row>
    <row r="50" spans="18:54" ht="11.25">
      <c r="R50" s="194"/>
      <c r="S50" s="195"/>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row>
    <row r="51" spans="18:54" ht="11.25">
      <c r="R51" s="194"/>
      <c r="S51" s="195"/>
      <c r="U51" s="193"/>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row>
    <row r="52" spans="18:54" ht="11.25">
      <c r="R52" s="194"/>
      <c r="S52" s="195"/>
      <c r="U52" s="193"/>
      <c r="V52" s="196"/>
      <c r="X52" s="19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row>
    <row r="53" spans="18:54" ht="11.25">
      <c r="R53" s="194"/>
      <c r="U53" s="193"/>
      <c r="V53" s="196"/>
      <c r="X53" s="19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row>
    <row r="54" spans="18:54" ht="11.25">
      <c r="R54" s="194"/>
      <c r="U54" s="193"/>
      <c r="V54" s="196"/>
      <c r="X54" s="19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row>
    <row r="55" spans="18:54" ht="11.25">
      <c r="R55" s="194"/>
      <c r="U55" s="193"/>
      <c r="V55" s="196"/>
      <c r="X55" s="19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row>
    <row r="56" spans="21:54" ht="11.25">
      <c r="U56" s="193"/>
      <c r="V56" s="196"/>
      <c r="X56" s="19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row>
    <row r="57" spans="21:54" ht="11.25">
      <c r="U57" s="193"/>
      <c r="V57" s="196"/>
      <c r="X57" s="19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row>
    <row r="58" spans="21:54" ht="11.25">
      <c r="U58" s="193"/>
      <c r="V58" s="196"/>
      <c r="W58" s="198"/>
      <c r="X58" s="19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row>
    <row r="59" spans="21:54" ht="11.25">
      <c r="U59" s="193"/>
      <c r="V59" s="196"/>
      <c r="W59" s="198"/>
      <c r="X59" s="19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row>
    <row r="60" spans="18:54" ht="11.25">
      <c r="R60" s="193"/>
      <c r="U60" s="193"/>
      <c r="V60" s="196"/>
      <c r="W60" s="198"/>
      <c r="X60" s="19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row>
    <row r="61" spans="21:54" ht="11.25">
      <c r="U61" s="193"/>
      <c r="V61" s="196"/>
      <c r="W61" s="198"/>
      <c r="X61" s="19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row>
    <row r="62" spans="21:54" ht="11.25">
      <c r="U62" s="193"/>
      <c r="V62" s="196"/>
      <c r="W62" s="198"/>
      <c r="X62" s="19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row>
    <row r="63" spans="18:54" ht="11.25">
      <c r="R63" s="199"/>
      <c r="U63" s="193"/>
      <c r="V63" s="196"/>
      <c r="W63" s="198"/>
      <c r="X63" s="19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row>
    <row r="64" spans="21:54" ht="11.25">
      <c r="U64" s="193"/>
      <c r="V64" s="196"/>
      <c r="W64" s="198"/>
      <c r="X64" s="19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row>
    <row r="65" spans="21:54" ht="11.25">
      <c r="U65" s="193"/>
      <c r="V65" s="196"/>
      <c r="W65" s="198"/>
      <c r="X65" s="19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row>
    <row r="66" spans="21:54" ht="11.25">
      <c r="U66" s="193"/>
      <c r="V66" s="196"/>
      <c r="W66" s="198"/>
      <c r="X66" s="19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row>
    <row r="67" spans="21:54" ht="11.25">
      <c r="U67" s="193"/>
      <c r="V67" s="196"/>
      <c r="W67" s="198"/>
      <c r="X67" s="19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row>
    <row r="68" spans="21:54" ht="11.25">
      <c r="U68" s="193"/>
      <c r="V68" s="196"/>
      <c r="W68" s="198"/>
      <c r="X68" s="19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row>
    <row r="69" spans="21:54" ht="11.25">
      <c r="U69" s="193"/>
      <c r="V69" s="196"/>
      <c r="W69" s="198"/>
      <c r="X69" s="19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row>
    <row r="70" spans="28:54" ht="11.25">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row>
    <row r="71" spans="18:54" ht="11.25">
      <c r="R71" s="199"/>
      <c r="U71" s="198"/>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row>
    <row r="72" spans="21:54" ht="11.25">
      <c r="U72" s="198"/>
      <c r="V72" s="196"/>
      <c r="W72" s="193"/>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row>
    <row r="73" spans="21:54" ht="11.25">
      <c r="U73" s="198"/>
      <c r="V73" s="196"/>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row>
    <row r="74" spans="21:54" ht="11.25">
      <c r="U74" s="198"/>
      <c r="V74" s="196"/>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row>
    <row r="75" spans="21:54" ht="11.25">
      <c r="U75" s="198"/>
      <c r="V75" s="196"/>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row>
    <row r="76" spans="18:54" ht="11.25">
      <c r="R76" s="193"/>
      <c r="U76" s="198"/>
      <c r="V76" s="196"/>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row>
    <row r="77" spans="21:54" ht="11.25">
      <c r="U77" s="198"/>
      <c r="V77" s="196"/>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row>
    <row r="78" spans="21:54" ht="11.25">
      <c r="U78" s="193"/>
      <c r="V78" s="196"/>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row>
    <row r="79" spans="28:54" ht="11.25">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row>
    <row r="80" spans="18:54" ht="11.25">
      <c r="R80" s="199"/>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row>
    <row r="81" spans="21:54" ht="11.25">
      <c r="U81" s="198"/>
      <c r="V81" s="196"/>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row>
    <row r="82" spans="21:54" ht="11.25">
      <c r="U82" s="198"/>
      <c r="V82" s="196"/>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row>
    <row r="83" spans="21:54" ht="11.25">
      <c r="U83" s="198"/>
      <c r="V83" s="196"/>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row>
    <row r="84" spans="21:54" ht="11.25">
      <c r="U84" s="198"/>
      <c r="V84" s="196"/>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row>
    <row r="85" spans="21:54" ht="11.25">
      <c r="U85" s="198"/>
      <c r="V85" s="196"/>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row>
    <row r="86" spans="21:54" ht="11.25">
      <c r="U86" s="198"/>
      <c r="V86" s="196"/>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row>
    <row r="87" spans="22:54" ht="11.25">
      <c r="V87" s="196"/>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row>
    <row r="88" spans="28:54" ht="11.25">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row>
    <row r="89" spans="18:54" ht="11.25">
      <c r="R89" s="199"/>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row>
    <row r="90" spans="21:54" ht="11.25">
      <c r="U90" s="198"/>
      <c r="V90" s="196"/>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row>
    <row r="91" spans="21:54" ht="11.25">
      <c r="U91" s="198"/>
      <c r="V91" s="196"/>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row>
    <row r="92" spans="21:54" ht="11.25">
      <c r="U92" s="198"/>
      <c r="V92" s="196"/>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row>
    <row r="93" spans="21:54" ht="11.25">
      <c r="U93" s="198"/>
      <c r="V93" s="196"/>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7"/>
      <c r="BB93" s="157"/>
    </row>
    <row r="94" spans="21:54" ht="11.25">
      <c r="U94" s="198"/>
      <c r="V94" s="196"/>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row>
    <row r="95" spans="21:54" ht="11.25">
      <c r="U95" s="198"/>
      <c r="V95" s="196"/>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row>
    <row r="96" spans="21:54" ht="11.25">
      <c r="U96" s="193"/>
      <c r="V96" s="196"/>
      <c r="AB96" s="157"/>
      <c r="AC96" s="157"/>
      <c r="AD96" s="157"/>
      <c r="AE96" s="157"/>
      <c r="AF96" s="157"/>
      <c r="AG96" s="157"/>
      <c r="AH96" s="157"/>
      <c r="AI96" s="157"/>
      <c r="AJ96" s="157"/>
      <c r="AK96" s="157"/>
      <c r="AL96" s="157"/>
      <c r="AM96" s="157"/>
      <c r="AN96" s="157"/>
      <c r="AO96" s="157"/>
      <c r="AP96" s="157"/>
      <c r="AQ96" s="157"/>
      <c r="AR96" s="157"/>
      <c r="AS96" s="157"/>
      <c r="AT96" s="157"/>
      <c r="AU96" s="157"/>
      <c r="AV96" s="157"/>
      <c r="AW96" s="157"/>
      <c r="AX96" s="157"/>
      <c r="AY96" s="157"/>
      <c r="AZ96" s="157"/>
      <c r="BA96" s="157"/>
      <c r="BB96" s="157"/>
    </row>
    <row r="97" spans="28:54" ht="11.25">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157"/>
      <c r="AY97" s="157"/>
      <c r="AZ97" s="157"/>
      <c r="BA97" s="157"/>
      <c r="BB97" s="157"/>
    </row>
    <row r="98" spans="18:54" ht="11.25">
      <c r="R98" s="199"/>
      <c r="U98" s="198"/>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57"/>
    </row>
    <row r="99" spans="21:54" ht="11.25">
      <c r="U99" s="198"/>
      <c r="V99" s="196"/>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7"/>
      <c r="AZ99" s="157"/>
      <c r="BA99" s="157"/>
      <c r="BB99" s="157"/>
    </row>
    <row r="100" spans="21:54" ht="11.25">
      <c r="U100" s="198"/>
      <c r="V100" s="196"/>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row>
    <row r="101" spans="21:54" ht="11.25">
      <c r="U101" s="198"/>
      <c r="V101" s="196"/>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row>
    <row r="102" spans="21:54" ht="11.25">
      <c r="U102" s="198"/>
      <c r="V102" s="196"/>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row>
    <row r="103" spans="21:54" ht="11.25">
      <c r="U103" s="198"/>
      <c r="V103" s="196"/>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row>
    <row r="104" spans="21:54" ht="11.25">
      <c r="U104" s="198"/>
      <c r="V104" s="196"/>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row>
    <row r="105" spans="21:54" ht="11.25">
      <c r="U105" s="198"/>
      <c r="V105" s="196"/>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row>
    <row r="106" spans="22:54" ht="11.25">
      <c r="V106" s="196"/>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row>
    <row r="107" spans="18:54" ht="11.25">
      <c r="R107" s="199"/>
      <c r="U107" s="198"/>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row>
    <row r="108" spans="18:22" ht="11.25">
      <c r="R108" s="193"/>
      <c r="U108" s="198"/>
      <c r="V108" s="196"/>
    </row>
    <row r="109" spans="21:22" ht="11.25">
      <c r="U109" s="198"/>
      <c r="V109" s="196"/>
    </row>
    <row r="110" spans="21:22" ht="11.25">
      <c r="U110" s="198"/>
      <c r="V110" s="196"/>
    </row>
    <row r="111" spans="21:22" ht="11.25">
      <c r="U111" s="198"/>
      <c r="V111" s="196"/>
    </row>
    <row r="112" spans="21:22" ht="11.25">
      <c r="U112" s="198"/>
      <c r="V112" s="196"/>
    </row>
    <row r="113" spans="21:22" ht="11.25">
      <c r="U113" s="198"/>
      <c r="V113" s="196"/>
    </row>
    <row r="114" spans="21:22" ht="11.25">
      <c r="U114" s="198"/>
      <c r="V114" s="196"/>
    </row>
    <row r="117" spans="18:21" ht="11.25">
      <c r="R117" s="199"/>
      <c r="U117" s="198"/>
    </row>
    <row r="118" spans="21:22" ht="11.25">
      <c r="U118" s="198"/>
      <c r="V118" s="193"/>
    </row>
    <row r="119" spans="21:22" ht="11.25">
      <c r="U119" s="198"/>
      <c r="V119" s="193"/>
    </row>
    <row r="120" spans="21:22" ht="11.25">
      <c r="U120" s="198"/>
      <c r="V120" s="193"/>
    </row>
    <row r="121" spans="21:22" ht="11.25">
      <c r="U121" s="198"/>
      <c r="V121" s="193"/>
    </row>
    <row r="122" spans="21:22" ht="11.25">
      <c r="U122" s="198"/>
      <c r="V122" s="193"/>
    </row>
    <row r="123" spans="21:22" ht="11.25">
      <c r="U123" s="198"/>
      <c r="V123" s="193"/>
    </row>
    <row r="124" spans="18:22" ht="11.25">
      <c r="R124" s="193"/>
      <c r="U124" s="198"/>
      <c r="V124" s="193"/>
    </row>
    <row r="126" ht="11.25">
      <c r="R126" s="193"/>
    </row>
    <row r="127" spans="18:21" ht="11.25">
      <c r="R127" s="199"/>
      <c r="U127" s="198"/>
    </row>
    <row r="128" spans="21:22" ht="11.25">
      <c r="U128" s="198"/>
      <c r="V128" s="193"/>
    </row>
    <row r="129" spans="21:22" ht="11.25">
      <c r="U129" s="198"/>
      <c r="V129" s="193"/>
    </row>
    <row r="130" spans="21:22" ht="11.25">
      <c r="U130" s="198"/>
      <c r="V130" s="193"/>
    </row>
    <row r="131" spans="21:22" ht="11.25">
      <c r="U131" s="198"/>
      <c r="V131" s="193"/>
    </row>
    <row r="132" spans="21:22" ht="11.25">
      <c r="U132" s="198"/>
      <c r="V132" s="193"/>
    </row>
    <row r="133" spans="21:22" ht="11.25">
      <c r="U133" s="198"/>
      <c r="V133" s="193"/>
    </row>
    <row r="134" spans="21:22" ht="11.25">
      <c r="U134" s="198"/>
      <c r="V134" s="193"/>
    </row>
    <row r="135" ht="11.25">
      <c r="U135" s="193"/>
    </row>
    <row r="136" spans="18:21" ht="11.25">
      <c r="R136" s="199"/>
      <c r="U136" s="198"/>
    </row>
    <row r="137" spans="21:22" ht="11.25">
      <c r="U137" s="198"/>
      <c r="V137" s="193"/>
    </row>
    <row r="138" spans="21:22" ht="11.25">
      <c r="U138" s="198"/>
      <c r="V138" s="193"/>
    </row>
    <row r="139" spans="21:22" ht="11.25">
      <c r="U139" s="198"/>
      <c r="V139" s="193"/>
    </row>
    <row r="140" spans="21:22" ht="11.25">
      <c r="U140" s="198"/>
      <c r="V140" s="193"/>
    </row>
    <row r="141" spans="21:22" ht="11.25">
      <c r="U141" s="198"/>
      <c r="V141" s="193"/>
    </row>
    <row r="142" spans="21:22" ht="11.25">
      <c r="U142" s="198"/>
      <c r="V142" s="193"/>
    </row>
    <row r="143" spans="21:22" ht="11.25">
      <c r="U143" s="198"/>
      <c r="V143" s="193"/>
    </row>
    <row r="145" spans="18:21" ht="11.25">
      <c r="R145" s="199"/>
      <c r="U145" s="198"/>
    </row>
    <row r="146" spans="21:22" ht="11.25">
      <c r="U146" s="198"/>
      <c r="V146" s="193"/>
    </row>
    <row r="147" spans="21:22" ht="11.25">
      <c r="U147" s="198"/>
      <c r="V147" s="193"/>
    </row>
    <row r="148" spans="21:22" ht="11.25">
      <c r="U148" s="198"/>
      <c r="V148" s="193"/>
    </row>
    <row r="149" spans="21:22" ht="11.25">
      <c r="U149" s="198"/>
      <c r="V149" s="193"/>
    </row>
    <row r="150" spans="21:22" ht="11.25">
      <c r="U150" s="198"/>
      <c r="V150" s="193"/>
    </row>
    <row r="151" spans="21:22" ht="11.25">
      <c r="U151" s="198"/>
      <c r="V151" s="193"/>
    </row>
    <row r="152" spans="21:22" ht="11.25">
      <c r="U152" s="198"/>
      <c r="V152" s="193"/>
    </row>
    <row r="153" spans="21:22" ht="11.25">
      <c r="U153" s="198"/>
      <c r="V153" s="193"/>
    </row>
    <row r="154" spans="21:22" ht="11.25">
      <c r="U154" s="198"/>
      <c r="V154" s="193"/>
    </row>
    <row r="155" spans="21:22" ht="11.25">
      <c r="U155" s="193"/>
      <c r="V155" s="196"/>
    </row>
    <row r="156" spans="21:22" ht="11.25">
      <c r="U156" s="193"/>
      <c r="V156" s="196"/>
    </row>
    <row r="157" spans="18:22" ht="11.25">
      <c r="R157" s="199"/>
      <c r="U157" s="193"/>
      <c r="V157" s="196"/>
    </row>
    <row r="158" spans="21:22" ht="11.25">
      <c r="U158" s="193"/>
      <c r="V158" s="196"/>
    </row>
    <row r="159" spans="21:22" ht="11.25">
      <c r="U159" s="193"/>
      <c r="V159" s="196"/>
    </row>
    <row r="160" spans="21:22" ht="11.25">
      <c r="U160" s="193"/>
      <c r="V160" s="196"/>
    </row>
    <row r="161" spans="21:22" ht="11.25">
      <c r="U161" s="193"/>
      <c r="V161" s="196"/>
    </row>
    <row r="162" spans="21:22" ht="11.25">
      <c r="U162" s="193"/>
      <c r="V162" s="196"/>
    </row>
    <row r="163" spans="21:22" ht="11.25">
      <c r="U163" s="198"/>
      <c r="V163" s="193"/>
    </row>
    <row r="164" spans="21:22" ht="11.25">
      <c r="U164" s="198"/>
      <c r="V164" s="193"/>
    </row>
    <row r="165" spans="21:22" ht="11.25">
      <c r="U165" s="193"/>
      <c r="V165" s="196"/>
    </row>
    <row r="166" spans="21:22" ht="11.25">
      <c r="U166" s="193"/>
      <c r="V166" s="196"/>
    </row>
    <row r="167" spans="18:22" ht="11.25">
      <c r="R167" s="199"/>
      <c r="U167" s="193"/>
      <c r="V167" s="196"/>
    </row>
    <row r="168" spans="21:22" ht="11.25">
      <c r="U168" s="193"/>
      <c r="V168" s="196"/>
    </row>
    <row r="169" spans="21:22" ht="11.25">
      <c r="U169" s="193"/>
      <c r="V169" s="196"/>
    </row>
    <row r="170" spans="21:22" ht="11.25">
      <c r="U170" s="193"/>
      <c r="V170" s="196"/>
    </row>
    <row r="171" spans="21:22" ht="11.25">
      <c r="U171" s="193"/>
      <c r="V171" s="196"/>
    </row>
    <row r="172" spans="21:22" ht="11.25">
      <c r="U172" s="193"/>
      <c r="V172" s="196"/>
    </row>
    <row r="173" spans="21:22" ht="11.25">
      <c r="U173" s="198"/>
      <c r="V173" s="193"/>
    </row>
    <row r="174" spans="21:22" ht="11.25">
      <c r="U174" s="198"/>
      <c r="V174" s="193"/>
    </row>
    <row r="177" spans="18:21" ht="11.25">
      <c r="R177" s="199"/>
      <c r="U177" s="198"/>
    </row>
    <row r="178" spans="18:22" ht="11.25">
      <c r="R178" s="199"/>
      <c r="U178" s="198"/>
      <c r="V178" s="193"/>
    </row>
    <row r="179" spans="18:22" ht="11.25">
      <c r="R179" s="199"/>
      <c r="U179" s="198"/>
      <c r="V179" s="193"/>
    </row>
    <row r="180" spans="18:22" ht="11.25">
      <c r="R180" s="199"/>
      <c r="U180" s="198"/>
      <c r="V180" s="193"/>
    </row>
    <row r="181" spans="18:22" ht="11.25">
      <c r="R181" s="199"/>
      <c r="U181" s="198"/>
      <c r="V181" s="193"/>
    </row>
    <row r="182" spans="18:22" ht="11.25">
      <c r="R182" s="199"/>
      <c r="U182" s="198"/>
      <c r="V182" s="193"/>
    </row>
    <row r="183" spans="18:22" ht="11.25">
      <c r="R183" s="199"/>
      <c r="U183" s="198"/>
      <c r="V183" s="193"/>
    </row>
    <row r="184" spans="18:22" ht="11.25">
      <c r="R184" s="199"/>
      <c r="U184" s="198"/>
      <c r="V184" s="193"/>
    </row>
    <row r="185" ht="11.25">
      <c r="R185" s="199"/>
    </row>
    <row r="186" ht="11.25">
      <c r="R186" s="199"/>
    </row>
    <row r="187" spans="18:21" ht="11.25">
      <c r="R187" s="199"/>
      <c r="U187" s="198"/>
    </row>
    <row r="188" spans="18:22" ht="11.25">
      <c r="R188" s="199"/>
      <c r="U188" s="198"/>
      <c r="V188" s="193"/>
    </row>
    <row r="189" spans="18:22" ht="11.25">
      <c r="R189" s="199"/>
      <c r="U189" s="198"/>
      <c r="V189" s="193"/>
    </row>
    <row r="190" spans="18:22" ht="11.25">
      <c r="R190" s="199"/>
      <c r="U190" s="198"/>
      <c r="V190" s="193"/>
    </row>
    <row r="191" spans="18:22" ht="11.25">
      <c r="R191" s="199"/>
      <c r="U191" s="198"/>
      <c r="V191" s="193"/>
    </row>
    <row r="192" spans="18:22" ht="11.25">
      <c r="R192" s="199"/>
      <c r="U192" s="198"/>
      <c r="V192" s="193"/>
    </row>
    <row r="193" spans="18:22" ht="11.25">
      <c r="R193" s="199"/>
      <c r="U193" s="198"/>
      <c r="V193" s="193"/>
    </row>
    <row r="194" spans="18:22" ht="11.25">
      <c r="R194" s="199"/>
      <c r="U194" s="198"/>
      <c r="V194" s="193"/>
    </row>
    <row r="195" ht="11.25">
      <c r="R195" s="199"/>
    </row>
    <row r="196" ht="11.25">
      <c r="R196" s="199"/>
    </row>
    <row r="197" spans="18:21" ht="11.25">
      <c r="R197" s="199"/>
      <c r="U197" s="198"/>
    </row>
    <row r="198" spans="18:22" ht="11.25">
      <c r="R198" s="199"/>
      <c r="U198" s="198"/>
      <c r="V198" s="193"/>
    </row>
    <row r="199" spans="18:22" ht="11.25">
      <c r="R199" s="199"/>
      <c r="U199" s="198"/>
      <c r="V199" s="193"/>
    </row>
    <row r="200" spans="18:22" ht="11.25">
      <c r="R200" s="199"/>
      <c r="U200" s="198"/>
      <c r="V200" s="193"/>
    </row>
    <row r="201" spans="18:22" ht="11.25">
      <c r="R201" s="199"/>
      <c r="U201" s="198"/>
      <c r="V201" s="193"/>
    </row>
    <row r="202" spans="18:22" ht="11.25">
      <c r="R202" s="199"/>
      <c r="U202" s="198"/>
      <c r="V202" s="193"/>
    </row>
    <row r="203" spans="18:22" ht="11.25">
      <c r="R203" s="199"/>
      <c r="U203" s="198"/>
      <c r="V203" s="193"/>
    </row>
    <row r="204" spans="18:22" ht="11.25">
      <c r="R204" s="199"/>
      <c r="U204" s="198"/>
      <c r="V204" s="193"/>
    </row>
    <row r="205" ht="11.25">
      <c r="R205" s="199"/>
    </row>
    <row r="206" ht="11.25">
      <c r="R206" s="199"/>
    </row>
    <row r="207" spans="18:21" ht="11.25">
      <c r="R207" s="199"/>
      <c r="U207" s="198"/>
    </row>
    <row r="208" spans="21:22" ht="11.25">
      <c r="U208" s="198"/>
      <c r="V208" s="193"/>
    </row>
    <row r="209" spans="21:22" ht="11.25">
      <c r="U209" s="198"/>
      <c r="V209" s="193"/>
    </row>
    <row r="210" spans="21:22" ht="11.25">
      <c r="U210" s="198"/>
      <c r="V210" s="193"/>
    </row>
    <row r="211" spans="21:22" ht="11.25">
      <c r="U211" s="198"/>
      <c r="V211" s="193"/>
    </row>
    <row r="212" spans="21:22" ht="11.25">
      <c r="U212" s="198"/>
      <c r="V212" s="193"/>
    </row>
    <row r="213" spans="21:22" ht="11.25">
      <c r="U213" s="198"/>
      <c r="V213" s="193"/>
    </row>
    <row r="214" spans="21:22" ht="11.25">
      <c r="U214" s="198"/>
      <c r="V214" s="193"/>
    </row>
    <row r="217" spans="18:21" ht="11.25">
      <c r="R217" s="199"/>
      <c r="U217" s="198"/>
    </row>
    <row r="218" spans="21:22" ht="11.25">
      <c r="U218" s="198"/>
      <c r="V218" s="193"/>
    </row>
    <row r="219" spans="21:22" ht="11.25">
      <c r="U219" s="198"/>
      <c r="V219" s="193"/>
    </row>
    <row r="220" spans="21:22" ht="11.25">
      <c r="U220" s="198"/>
      <c r="V220" s="193"/>
    </row>
    <row r="221" spans="21:22" ht="11.25">
      <c r="U221" s="198"/>
      <c r="V221" s="193"/>
    </row>
    <row r="222" spans="21:22" ht="11.25">
      <c r="U222" s="198"/>
      <c r="V222" s="193"/>
    </row>
    <row r="223" spans="21:22" ht="11.25">
      <c r="U223" s="198"/>
      <c r="V223" s="193"/>
    </row>
    <row r="224" spans="21:22" ht="11.25">
      <c r="U224" s="198"/>
      <c r="V224" s="193"/>
    </row>
    <row r="226" spans="18:21" ht="11.25">
      <c r="R226" s="199"/>
      <c r="U226" s="198"/>
    </row>
    <row r="227" spans="21:22" ht="11.25">
      <c r="U227" s="198"/>
      <c r="V227" s="193"/>
    </row>
    <row r="228" spans="21:22" ht="11.25">
      <c r="U228" s="198"/>
      <c r="V228" s="193"/>
    </row>
    <row r="229" spans="21:22" ht="11.25">
      <c r="U229" s="198"/>
      <c r="V229" s="193"/>
    </row>
    <row r="230" spans="21:22" ht="11.25">
      <c r="U230" s="198"/>
      <c r="V230" s="193"/>
    </row>
    <row r="231" spans="21:22" ht="11.25">
      <c r="U231" s="198"/>
      <c r="V231" s="193"/>
    </row>
    <row r="232" spans="21:22" ht="11.25">
      <c r="U232" s="198"/>
      <c r="V232" s="193"/>
    </row>
    <row r="233" spans="21:22" ht="11.25">
      <c r="U233" s="198"/>
      <c r="V233" s="193"/>
    </row>
    <row r="236" spans="18:21" ht="11.25">
      <c r="R236" s="199"/>
      <c r="U236" s="198"/>
    </row>
    <row r="237" spans="21:22" ht="11.25">
      <c r="U237" s="198"/>
      <c r="V237" s="193"/>
    </row>
    <row r="238" spans="21:22" ht="11.25">
      <c r="U238" s="198"/>
      <c r="V238" s="193"/>
    </row>
    <row r="239" spans="21:22" ht="11.25">
      <c r="U239" s="198"/>
      <c r="V239" s="193"/>
    </row>
    <row r="240" spans="21:22" ht="11.25">
      <c r="U240" s="198"/>
      <c r="V240" s="193"/>
    </row>
    <row r="241" spans="21:22" ht="11.25">
      <c r="U241" s="198"/>
      <c r="V241" s="193"/>
    </row>
    <row r="242" spans="21:22" ht="11.25">
      <c r="U242" s="198"/>
      <c r="V242" s="193"/>
    </row>
    <row r="243" spans="21:22" ht="11.25">
      <c r="U243" s="198"/>
      <c r="V243" s="193"/>
    </row>
    <row r="246" ht="11.25">
      <c r="U246" s="198"/>
    </row>
    <row r="247" spans="21:22" ht="11.25">
      <c r="U247" s="198"/>
      <c r="V247" s="193"/>
    </row>
    <row r="248" spans="21:22" ht="11.25">
      <c r="U248" s="198"/>
      <c r="V248" s="193"/>
    </row>
    <row r="249" spans="21:22" ht="11.25">
      <c r="U249" s="198"/>
      <c r="V249" s="193"/>
    </row>
    <row r="250" spans="21:22" ht="11.25">
      <c r="U250" s="198"/>
      <c r="V250" s="193"/>
    </row>
    <row r="251" spans="21:22" ht="11.25">
      <c r="U251" s="198"/>
      <c r="V251" s="193"/>
    </row>
    <row r="252" spans="21:22" ht="11.25">
      <c r="U252" s="198"/>
      <c r="V252" s="193"/>
    </row>
    <row r="253" spans="21:22" ht="11.25">
      <c r="U253" s="198"/>
      <c r="V253" s="193"/>
    </row>
    <row r="255" ht="11.25">
      <c r="U255" s="200"/>
    </row>
    <row r="256" spans="19:20" ht="11.25">
      <c r="S256" s="198"/>
      <c r="T256" s="200"/>
    </row>
    <row r="257" spans="19:20" ht="11.25">
      <c r="S257" s="198"/>
      <c r="T257" s="200"/>
    </row>
    <row r="258" spans="19:20" ht="11.25">
      <c r="S258" s="198"/>
      <c r="T258" s="200"/>
    </row>
    <row r="259" spans="19:20" ht="11.25">
      <c r="S259" s="198"/>
      <c r="T259" s="200"/>
    </row>
    <row r="260" spans="19:20" ht="11.25">
      <c r="S260" s="198"/>
      <c r="T260" s="200"/>
    </row>
    <row r="261" spans="19:20" ht="11.25">
      <c r="S261" s="198"/>
      <c r="T261" s="200"/>
    </row>
    <row r="262" ht="11.25">
      <c r="S262" s="198"/>
    </row>
    <row r="264" ht="11.25">
      <c r="U264" s="193"/>
    </row>
    <row r="266" ht="11.25">
      <c r="U266" s="200"/>
    </row>
    <row r="267" ht="11.25">
      <c r="U267" s="200"/>
    </row>
    <row r="268" ht="11.25">
      <c r="U268" s="200"/>
    </row>
    <row r="269" spans="21:22" ht="11.25">
      <c r="U269" s="200"/>
      <c r="V269" s="201"/>
    </row>
    <row r="270" spans="21:22" ht="11.25">
      <c r="U270" s="200"/>
      <c r="V270" s="201"/>
    </row>
    <row r="271" spans="21:22" ht="11.25">
      <c r="U271" s="200"/>
      <c r="V271" s="201"/>
    </row>
    <row r="272" spans="21:22" ht="11.25">
      <c r="U272" s="200"/>
      <c r="V272" s="201"/>
    </row>
    <row r="273" spans="21:22" ht="11.25">
      <c r="U273" s="200"/>
      <c r="V273" s="201"/>
    </row>
    <row r="274" spans="21:22" ht="11.25">
      <c r="U274" s="200"/>
      <c r="V274" s="201"/>
    </row>
    <row r="275" spans="21:22" ht="11.25">
      <c r="U275" s="200"/>
      <c r="V275" s="201"/>
    </row>
    <row r="277" ht="11.25">
      <c r="X277" s="200"/>
    </row>
    <row r="278" ht="11.25">
      <c r="X278" s="200"/>
    </row>
    <row r="279" ht="11.25">
      <c r="X279" s="200"/>
    </row>
    <row r="280" ht="11.25">
      <c r="X280" s="200"/>
    </row>
    <row r="281" ht="11.25">
      <c r="X281" s="200"/>
    </row>
    <row r="282" ht="11.25">
      <c r="X282" s="200"/>
    </row>
    <row r="283" ht="11.25">
      <c r="X283" s="200"/>
    </row>
    <row r="284" ht="11.25">
      <c r="X284" s="200"/>
    </row>
    <row r="285" ht="11.25">
      <c r="X285" s="200"/>
    </row>
    <row r="286" ht="11.25">
      <c r="X286" s="200"/>
    </row>
    <row r="287" ht="11.25">
      <c r="X287" s="200"/>
    </row>
    <row r="288" ht="11.25">
      <c r="X288" s="200"/>
    </row>
    <row r="289" ht="12" thickBot="1"/>
    <row r="290" spans="19:20" ht="12" thickBot="1">
      <c r="S290" s="202"/>
      <c r="T290" s="203"/>
    </row>
    <row r="291" spans="20:25" ht="11.25">
      <c r="T291" s="203"/>
      <c r="V291" s="193"/>
      <c r="X291" s="198"/>
      <c r="Y291" s="191"/>
    </row>
    <row r="292" spans="20:25" ht="11.25">
      <c r="T292" s="203"/>
      <c r="V292" s="193"/>
      <c r="X292" s="198"/>
      <c r="Y292" s="191"/>
    </row>
    <row r="293" spans="20:25" ht="11.25">
      <c r="T293" s="203"/>
      <c r="V293" s="193"/>
      <c r="X293" s="198"/>
      <c r="Y293" s="191"/>
    </row>
    <row r="294" spans="20:25" ht="11.25">
      <c r="T294" s="203"/>
      <c r="V294" s="193"/>
      <c r="X294" s="198"/>
      <c r="Y294" s="191"/>
    </row>
    <row r="295" spans="20:25" ht="11.25">
      <c r="T295" s="203"/>
      <c r="V295" s="193"/>
      <c r="X295" s="198"/>
      <c r="Y295" s="191"/>
    </row>
    <row r="296" spans="20:25" ht="11.25">
      <c r="T296" s="203"/>
      <c r="V296" s="193"/>
      <c r="X296" s="198"/>
      <c r="Y296" s="191"/>
    </row>
    <row r="297" ht="11.25">
      <c r="T297" s="203"/>
    </row>
    <row r="298" spans="24:25" ht="11.25">
      <c r="X298" s="191"/>
      <c r="Y298" s="191"/>
    </row>
    <row r="299" spans="24:25" ht="11.25">
      <c r="X299" s="191"/>
      <c r="Y299" s="191"/>
    </row>
    <row r="300" spans="24:25" ht="11.25">
      <c r="X300" s="191"/>
      <c r="Y300" s="191"/>
    </row>
    <row r="301" spans="20:25" ht="11.25">
      <c r="T301" s="203"/>
      <c r="U301" s="193"/>
      <c r="X301" s="191"/>
      <c r="Y301" s="191"/>
    </row>
    <row r="302" spans="20:25" ht="11.25">
      <c r="T302" s="203"/>
      <c r="U302" s="193"/>
      <c r="X302" s="191"/>
      <c r="Y302" s="191"/>
    </row>
    <row r="303" spans="20:25" ht="11.25">
      <c r="T303" s="203"/>
      <c r="U303" s="193"/>
      <c r="X303" s="191"/>
      <c r="Y303" s="191"/>
    </row>
    <row r="304" spans="20:21" ht="11.25">
      <c r="T304" s="203"/>
      <c r="U304" s="193"/>
    </row>
    <row r="305" spans="20:21" ht="11.25">
      <c r="T305" s="203"/>
      <c r="U305" s="193"/>
    </row>
    <row r="306" spans="20:23" ht="11.25">
      <c r="T306" s="203"/>
      <c r="U306" s="193"/>
      <c r="W306" s="204"/>
    </row>
    <row r="307" ht="11.25">
      <c r="T307" s="203"/>
    </row>
    <row r="313" ht="11.25">
      <c r="V313" s="204"/>
    </row>
    <row r="315" ht="12" thickBot="1"/>
    <row r="316" ht="12" thickBot="1">
      <c r="V316" s="205"/>
    </row>
  </sheetData>
  <sheetProtection password="C61F" sheet="1" objects="1" scenarios="1"/>
  <autoFilter ref="A18:AA39"/>
  <mergeCells count="53">
    <mergeCell ref="Y19:Y39"/>
    <mergeCell ref="Z19:Z39"/>
    <mergeCell ref="AA19:AA39"/>
    <mergeCell ref="S19:S39"/>
    <mergeCell ref="T19:T39"/>
    <mergeCell ref="U19:U39"/>
    <mergeCell ref="V19:V39"/>
    <mergeCell ref="W19:W39"/>
    <mergeCell ref="X19:X39"/>
    <mergeCell ref="M19:M39"/>
    <mergeCell ref="N19:N39"/>
    <mergeCell ref="O19:O39"/>
    <mergeCell ref="P19:P39"/>
    <mergeCell ref="Q19:Q39"/>
    <mergeCell ref="R19:R39"/>
    <mergeCell ref="AO17:AP17"/>
    <mergeCell ref="AQ17:AR17"/>
    <mergeCell ref="BB17:BC17"/>
    <mergeCell ref="BD17:BE17"/>
    <mergeCell ref="BF17:BG17"/>
    <mergeCell ref="H19:H39"/>
    <mergeCell ref="I19:I39"/>
    <mergeCell ref="J19:J39"/>
    <mergeCell ref="K19:K39"/>
    <mergeCell ref="L19:L39"/>
    <mergeCell ref="AC17:AD17"/>
    <mergeCell ref="AE17:AF17"/>
    <mergeCell ref="AG17:AH17"/>
    <mergeCell ref="AI17:AJ17"/>
    <mergeCell ref="AK17:AL17"/>
    <mergeCell ref="AM17:AN17"/>
    <mergeCell ref="W17:W18"/>
    <mergeCell ref="X17:X18"/>
    <mergeCell ref="Y17:Y18"/>
    <mergeCell ref="Z17:Z18"/>
    <mergeCell ref="AA17:AA18"/>
    <mergeCell ref="AB17:AB18"/>
    <mergeCell ref="AK1:AN8"/>
    <mergeCell ref="AO1:AQ8"/>
    <mergeCell ref="G17:G18"/>
    <mergeCell ref="H17:H18"/>
    <mergeCell ref="I17:I18"/>
    <mergeCell ref="J17:L17"/>
    <mergeCell ref="O17:P17"/>
    <mergeCell ref="Q17:R17"/>
    <mergeCell ref="S17:T17"/>
    <mergeCell ref="U17:V17"/>
    <mergeCell ref="A1:D8"/>
    <mergeCell ref="E1:N8"/>
    <mergeCell ref="O1:R8"/>
    <mergeCell ref="S1:U8"/>
    <mergeCell ref="W1:Y8"/>
    <mergeCell ref="Z1:AJ8"/>
  </mergeCells>
  <conditionalFormatting sqref="BB40:BG40 Q40:T40">
    <cfRule type="cellIs" priority="2" dxfId="10" operator="notEqual" stopIfTrue="1">
      <formula>#REF!</formula>
    </cfRule>
  </conditionalFormatting>
  <conditionalFormatting sqref="Q19:V39">
    <cfRule type="cellIs" priority="1" dxfId="11" operator="notEqual" stopIfTrue="1">
      <formula>BB19</formula>
    </cfRule>
  </conditionalFormatting>
  <dataValidations count="1">
    <dataValidation type="whole" allowBlank="1" showInputMessage="1" showErrorMessage="1" sqref="AC19:AR39">
      <formula1>0</formula1>
      <formula2>99999999999</formula2>
    </dataValidation>
  </dataValidations>
  <printOptions/>
  <pageMargins left="0.7086614173228347" right="0.7086614173228347" top="0.7480314960629921" bottom="0.7480314960629921" header="0.31496062992125984" footer="0.31496062992125984"/>
  <pageSetup orientation="landscape" scale="65" r:id="rId4"/>
  <drawing r:id="rId3"/>
  <legacyDrawing r:id="rId2"/>
</worksheet>
</file>

<file path=xl/worksheets/sheet4.xml><?xml version="1.0" encoding="utf-8"?>
<worksheet xmlns="http://schemas.openxmlformats.org/spreadsheetml/2006/main" xmlns:r="http://schemas.openxmlformats.org/officeDocument/2006/relationships">
  <sheetPr codeName="Hoja5">
    <tabColor rgb="FFFFC000"/>
    <pageSetUpPr fitToPage="1"/>
  </sheetPr>
  <dimension ref="A1:BD30"/>
  <sheetViews>
    <sheetView showGridLines="0" zoomScale="80" zoomScaleNormal="80" zoomScalePageLayoutView="0" workbookViewId="0" topLeftCell="C10">
      <selection activeCell="U19" sqref="U19:U39"/>
    </sheetView>
  </sheetViews>
  <sheetFormatPr defaultColWidth="11.421875" defaultRowHeight="15" outlineLevelRow="2"/>
  <cols>
    <col min="1" max="1" width="7.00390625" style="5" hidden="1" customWidth="1"/>
    <col min="2" max="2" width="8.421875" style="5" hidden="1" customWidth="1"/>
    <col min="3" max="3" width="9.57421875" style="5" customWidth="1"/>
    <col min="4" max="4" width="18.8515625" style="5" customWidth="1"/>
    <col min="5" max="5" width="6.8515625" style="5" customWidth="1"/>
    <col min="6" max="6" width="38.00390625" style="5" customWidth="1"/>
    <col min="7" max="7" width="11.421875" style="5" customWidth="1"/>
    <col min="8" max="8" width="9.00390625" style="5" customWidth="1"/>
    <col min="9" max="9" width="10.28125" style="5" customWidth="1"/>
    <col min="10" max="10" width="19.7109375" style="5" customWidth="1"/>
    <col min="11" max="11" width="11.421875" style="5" customWidth="1"/>
    <col min="12" max="12" width="11.421875" style="209" customWidth="1"/>
    <col min="13" max="13" width="21.421875" style="5" customWidth="1"/>
    <col min="14" max="14" width="22.8515625" style="5" customWidth="1"/>
    <col min="15" max="15" width="19.57421875" style="5" customWidth="1"/>
    <col min="16" max="16" width="19.7109375" style="5" customWidth="1"/>
    <col min="17" max="17" width="20.140625" style="5" customWidth="1"/>
    <col min="18" max="18" width="18.140625" style="5" customWidth="1"/>
    <col min="19" max="20" width="50.7109375" style="5" customWidth="1"/>
    <col min="21" max="21" width="19.421875" style="5" customWidth="1"/>
    <col min="22" max="22" width="19.8515625" style="5" customWidth="1"/>
    <col min="23" max="23" width="9.7109375" style="5" customWidth="1"/>
    <col min="24" max="25" width="15.7109375" style="5" customWidth="1"/>
    <col min="26" max="26" width="9.7109375" style="5" customWidth="1"/>
    <col min="27" max="28" width="15.7109375" style="5" customWidth="1"/>
    <col min="29" max="29" width="9.7109375" style="5" customWidth="1"/>
    <col min="30" max="31" width="15.7109375" style="5" customWidth="1"/>
    <col min="32" max="32" width="9.7109375" style="5" customWidth="1"/>
    <col min="33" max="34" width="15.7109375" style="5" customWidth="1"/>
    <col min="35" max="35" width="9.7109375" style="5" customWidth="1"/>
    <col min="36" max="37" width="15.7109375" style="5" customWidth="1"/>
    <col min="38" max="38" width="9.7109375" style="5" customWidth="1"/>
    <col min="39" max="40" width="15.7109375" style="5" customWidth="1"/>
    <col min="41" max="41" width="9.7109375" style="5" customWidth="1"/>
    <col min="42" max="43" width="15.7109375" style="5" customWidth="1"/>
    <col min="44" max="44" width="9.7109375" style="5" customWidth="1"/>
    <col min="45" max="46" width="15.7109375" style="5" customWidth="1"/>
    <col min="47" max="47" width="9.7109375" style="5" customWidth="1"/>
    <col min="48" max="48" width="5.00390625" style="5" customWidth="1"/>
    <col min="49" max="51" width="11.421875" style="5" customWidth="1"/>
    <col min="52" max="52" width="3.7109375" style="5" customWidth="1"/>
    <col min="53" max="53" width="14.140625" style="5" customWidth="1"/>
    <col min="54" max="54" width="11.421875" style="5" customWidth="1"/>
    <col min="55" max="55" width="14.421875" style="5" customWidth="1"/>
    <col min="56" max="16384" width="11.421875" style="5" customWidth="1"/>
  </cols>
  <sheetData>
    <row r="1" spans="1:51" s="153" customFormat="1" ht="12">
      <c r="A1" s="466"/>
      <c r="B1" s="467"/>
      <c r="C1" s="497"/>
      <c r="D1" s="500" t="s">
        <v>228</v>
      </c>
      <c r="E1" s="501"/>
      <c r="F1" s="501"/>
      <c r="G1" s="501"/>
      <c r="H1" s="501"/>
      <c r="I1" s="502"/>
      <c r="J1" s="457" t="s">
        <v>160</v>
      </c>
      <c r="K1" s="458"/>
      <c r="L1" s="458"/>
      <c r="M1" s="459"/>
      <c r="N1" s="500"/>
      <c r="O1" s="502"/>
      <c r="P1" s="500"/>
      <c r="Q1" s="501"/>
      <c r="R1" s="502"/>
      <c r="S1" s="503" t="s">
        <v>229</v>
      </c>
      <c r="T1" s="504"/>
      <c r="U1" s="504"/>
      <c r="V1" s="504"/>
      <c r="W1" s="504"/>
      <c r="X1" s="504"/>
      <c r="Y1" s="504"/>
      <c r="Z1" s="504"/>
      <c r="AA1" s="505"/>
      <c r="AB1" s="457" t="s">
        <v>160</v>
      </c>
      <c r="AC1" s="458"/>
      <c r="AD1" s="458"/>
      <c r="AE1" s="459"/>
      <c r="AF1" s="206"/>
      <c r="AG1" s="206"/>
      <c r="AH1" s="500"/>
      <c r="AI1" s="501"/>
      <c r="AJ1" s="502"/>
      <c r="AK1" s="503" t="s">
        <v>230</v>
      </c>
      <c r="AL1" s="504"/>
      <c r="AM1" s="504"/>
      <c r="AN1" s="504"/>
      <c r="AO1" s="504"/>
      <c r="AP1" s="504"/>
      <c r="AQ1" s="504"/>
      <c r="AR1" s="505"/>
      <c r="AS1" s="457" t="s">
        <v>160</v>
      </c>
      <c r="AT1" s="458"/>
      <c r="AU1" s="458"/>
      <c r="AV1" s="459"/>
      <c r="AW1" s="466"/>
      <c r="AX1" s="467"/>
      <c r="AY1" s="497"/>
    </row>
    <row r="2" spans="1:51" s="153" customFormat="1" ht="12">
      <c r="A2" s="468"/>
      <c r="B2" s="469"/>
      <c r="C2" s="498"/>
      <c r="D2" s="503"/>
      <c r="E2" s="504"/>
      <c r="F2" s="504"/>
      <c r="G2" s="504"/>
      <c r="H2" s="504"/>
      <c r="I2" s="505"/>
      <c r="J2" s="460"/>
      <c r="K2" s="461"/>
      <c r="L2" s="461"/>
      <c r="M2" s="462"/>
      <c r="N2" s="503"/>
      <c r="O2" s="505"/>
      <c r="P2" s="503"/>
      <c r="Q2" s="504"/>
      <c r="R2" s="505"/>
      <c r="S2" s="503"/>
      <c r="T2" s="504"/>
      <c r="U2" s="504"/>
      <c r="V2" s="504"/>
      <c r="W2" s="504"/>
      <c r="X2" s="504"/>
      <c r="Y2" s="504"/>
      <c r="Z2" s="504"/>
      <c r="AA2" s="505"/>
      <c r="AB2" s="460"/>
      <c r="AC2" s="461"/>
      <c r="AD2" s="461"/>
      <c r="AE2" s="462"/>
      <c r="AF2" s="207"/>
      <c r="AG2" s="207"/>
      <c r="AH2" s="503"/>
      <c r="AI2" s="504"/>
      <c r="AJ2" s="505"/>
      <c r="AK2" s="503"/>
      <c r="AL2" s="504"/>
      <c r="AM2" s="504"/>
      <c r="AN2" s="504"/>
      <c r="AO2" s="504"/>
      <c r="AP2" s="504"/>
      <c r="AQ2" s="504"/>
      <c r="AR2" s="505"/>
      <c r="AS2" s="460"/>
      <c r="AT2" s="461"/>
      <c r="AU2" s="461"/>
      <c r="AV2" s="462"/>
      <c r="AW2" s="468"/>
      <c r="AX2" s="469"/>
      <c r="AY2" s="498"/>
    </row>
    <row r="3" spans="1:51" s="153" customFormat="1" ht="12">
      <c r="A3" s="468"/>
      <c r="B3" s="469"/>
      <c r="C3" s="498"/>
      <c r="D3" s="503"/>
      <c r="E3" s="504"/>
      <c r="F3" s="504"/>
      <c r="G3" s="504"/>
      <c r="H3" s="504"/>
      <c r="I3" s="505"/>
      <c r="J3" s="460"/>
      <c r="K3" s="461"/>
      <c r="L3" s="461"/>
      <c r="M3" s="462"/>
      <c r="N3" s="503"/>
      <c r="O3" s="505"/>
      <c r="P3" s="503"/>
      <c r="Q3" s="504"/>
      <c r="R3" s="505"/>
      <c r="S3" s="503"/>
      <c r="T3" s="504"/>
      <c r="U3" s="504"/>
      <c r="V3" s="504"/>
      <c r="W3" s="504"/>
      <c r="X3" s="504"/>
      <c r="Y3" s="504"/>
      <c r="Z3" s="504"/>
      <c r="AA3" s="505"/>
      <c r="AB3" s="460"/>
      <c r="AC3" s="461"/>
      <c r="AD3" s="461"/>
      <c r="AE3" s="462"/>
      <c r="AF3" s="207"/>
      <c r="AG3" s="207"/>
      <c r="AH3" s="503"/>
      <c r="AI3" s="504"/>
      <c r="AJ3" s="505"/>
      <c r="AK3" s="503"/>
      <c r="AL3" s="504"/>
      <c r="AM3" s="504"/>
      <c r="AN3" s="504"/>
      <c r="AO3" s="504"/>
      <c r="AP3" s="504"/>
      <c r="AQ3" s="504"/>
      <c r="AR3" s="505"/>
      <c r="AS3" s="460"/>
      <c r="AT3" s="461"/>
      <c r="AU3" s="461"/>
      <c r="AV3" s="462"/>
      <c r="AW3" s="468"/>
      <c r="AX3" s="469"/>
      <c r="AY3" s="498"/>
    </row>
    <row r="4" spans="1:51" s="153" customFormat="1" ht="12">
      <c r="A4" s="468"/>
      <c r="B4" s="469"/>
      <c r="C4" s="498"/>
      <c r="D4" s="503"/>
      <c r="E4" s="504"/>
      <c r="F4" s="504"/>
      <c r="G4" s="504"/>
      <c r="H4" s="504"/>
      <c r="I4" s="505"/>
      <c r="J4" s="460"/>
      <c r="K4" s="461"/>
      <c r="L4" s="461"/>
      <c r="M4" s="462"/>
      <c r="N4" s="503"/>
      <c r="O4" s="505"/>
      <c r="P4" s="503"/>
      <c r="Q4" s="504"/>
      <c r="R4" s="505"/>
      <c r="S4" s="503"/>
      <c r="T4" s="504"/>
      <c r="U4" s="504"/>
      <c r="V4" s="504"/>
      <c r="W4" s="504"/>
      <c r="X4" s="504"/>
      <c r="Y4" s="504"/>
      <c r="Z4" s="504"/>
      <c r="AA4" s="505"/>
      <c r="AB4" s="460"/>
      <c r="AC4" s="461"/>
      <c r="AD4" s="461"/>
      <c r="AE4" s="462"/>
      <c r="AF4" s="207"/>
      <c r="AG4" s="207"/>
      <c r="AH4" s="503"/>
      <c r="AI4" s="504"/>
      <c r="AJ4" s="505"/>
      <c r="AK4" s="503"/>
      <c r="AL4" s="504"/>
      <c r="AM4" s="504"/>
      <c r="AN4" s="504"/>
      <c r="AO4" s="504"/>
      <c r="AP4" s="504"/>
      <c r="AQ4" s="504"/>
      <c r="AR4" s="505"/>
      <c r="AS4" s="460"/>
      <c r="AT4" s="461"/>
      <c r="AU4" s="461"/>
      <c r="AV4" s="462"/>
      <c r="AW4" s="468"/>
      <c r="AX4" s="469"/>
      <c r="AY4" s="498"/>
    </row>
    <row r="5" spans="1:51" s="153" customFormat="1" ht="12">
      <c r="A5" s="468"/>
      <c r="B5" s="469"/>
      <c r="C5" s="498"/>
      <c r="D5" s="503"/>
      <c r="E5" s="504"/>
      <c r="F5" s="504"/>
      <c r="G5" s="504"/>
      <c r="H5" s="504"/>
      <c r="I5" s="505"/>
      <c r="J5" s="460"/>
      <c r="K5" s="461"/>
      <c r="L5" s="461"/>
      <c r="M5" s="462"/>
      <c r="N5" s="503"/>
      <c r="O5" s="505"/>
      <c r="P5" s="503"/>
      <c r="Q5" s="504"/>
      <c r="R5" s="505"/>
      <c r="S5" s="503"/>
      <c r="T5" s="504"/>
      <c r="U5" s="504"/>
      <c r="V5" s="504"/>
      <c r="W5" s="504"/>
      <c r="X5" s="504"/>
      <c r="Y5" s="504"/>
      <c r="Z5" s="504"/>
      <c r="AA5" s="505"/>
      <c r="AB5" s="460"/>
      <c r="AC5" s="461"/>
      <c r="AD5" s="461"/>
      <c r="AE5" s="462"/>
      <c r="AF5" s="207"/>
      <c r="AG5" s="207"/>
      <c r="AH5" s="503"/>
      <c r="AI5" s="504"/>
      <c r="AJ5" s="505"/>
      <c r="AK5" s="503"/>
      <c r="AL5" s="504"/>
      <c r="AM5" s="504"/>
      <c r="AN5" s="504"/>
      <c r="AO5" s="504"/>
      <c r="AP5" s="504"/>
      <c r="AQ5" s="504"/>
      <c r="AR5" s="505"/>
      <c r="AS5" s="460"/>
      <c r="AT5" s="461"/>
      <c r="AU5" s="461"/>
      <c r="AV5" s="462"/>
      <c r="AW5" s="468"/>
      <c r="AX5" s="469"/>
      <c r="AY5" s="498"/>
    </row>
    <row r="6" spans="1:51" s="153" customFormat="1" ht="12">
      <c r="A6" s="468"/>
      <c r="B6" s="469"/>
      <c r="C6" s="498"/>
      <c r="D6" s="503"/>
      <c r="E6" s="504"/>
      <c r="F6" s="504"/>
      <c r="G6" s="504"/>
      <c r="H6" s="504"/>
      <c r="I6" s="505"/>
      <c r="J6" s="460"/>
      <c r="K6" s="461"/>
      <c r="L6" s="461"/>
      <c r="M6" s="462"/>
      <c r="N6" s="503"/>
      <c r="O6" s="505"/>
      <c r="P6" s="503"/>
      <c r="Q6" s="504"/>
      <c r="R6" s="505"/>
      <c r="S6" s="503"/>
      <c r="T6" s="504"/>
      <c r="U6" s="504"/>
      <c r="V6" s="504"/>
      <c r="W6" s="504"/>
      <c r="X6" s="504"/>
      <c r="Y6" s="504"/>
      <c r="Z6" s="504"/>
      <c r="AA6" s="505"/>
      <c r="AB6" s="460"/>
      <c r="AC6" s="461"/>
      <c r="AD6" s="461"/>
      <c r="AE6" s="462"/>
      <c r="AF6" s="207"/>
      <c r="AG6" s="207"/>
      <c r="AH6" s="503"/>
      <c r="AI6" s="504"/>
      <c r="AJ6" s="505"/>
      <c r="AK6" s="503"/>
      <c r="AL6" s="504"/>
      <c r="AM6" s="504"/>
      <c r="AN6" s="504"/>
      <c r="AO6" s="504"/>
      <c r="AP6" s="504"/>
      <c r="AQ6" s="504"/>
      <c r="AR6" s="505"/>
      <c r="AS6" s="460"/>
      <c r="AT6" s="461"/>
      <c r="AU6" s="461"/>
      <c r="AV6" s="462"/>
      <c r="AW6" s="468"/>
      <c r="AX6" s="469"/>
      <c r="AY6" s="498"/>
    </row>
    <row r="7" spans="1:51" s="153" customFormat="1" ht="12">
      <c r="A7" s="468"/>
      <c r="B7" s="469"/>
      <c r="C7" s="498"/>
      <c r="D7" s="503"/>
      <c r="E7" s="504"/>
      <c r="F7" s="504"/>
      <c r="G7" s="504"/>
      <c r="H7" s="504"/>
      <c r="I7" s="505"/>
      <c r="J7" s="460"/>
      <c r="K7" s="461"/>
      <c r="L7" s="461"/>
      <c r="M7" s="462"/>
      <c r="N7" s="503"/>
      <c r="O7" s="505"/>
      <c r="P7" s="503"/>
      <c r="Q7" s="504"/>
      <c r="R7" s="505"/>
      <c r="S7" s="503"/>
      <c r="T7" s="504"/>
      <c r="U7" s="504"/>
      <c r="V7" s="504"/>
      <c r="W7" s="504"/>
      <c r="X7" s="504"/>
      <c r="Y7" s="504"/>
      <c r="Z7" s="504"/>
      <c r="AA7" s="505"/>
      <c r="AB7" s="460"/>
      <c r="AC7" s="461"/>
      <c r="AD7" s="461"/>
      <c r="AE7" s="462"/>
      <c r="AF7" s="207"/>
      <c r="AG7" s="207"/>
      <c r="AH7" s="503"/>
      <c r="AI7" s="504"/>
      <c r="AJ7" s="505"/>
      <c r="AK7" s="503"/>
      <c r="AL7" s="504"/>
      <c r="AM7" s="504"/>
      <c r="AN7" s="504"/>
      <c r="AO7" s="504"/>
      <c r="AP7" s="504"/>
      <c r="AQ7" s="504"/>
      <c r="AR7" s="505"/>
      <c r="AS7" s="460"/>
      <c r="AT7" s="461"/>
      <c r="AU7" s="461"/>
      <c r="AV7" s="462"/>
      <c r="AW7" s="468"/>
      <c r="AX7" s="469"/>
      <c r="AY7" s="498"/>
    </row>
    <row r="8" spans="1:51" s="153" customFormat="1" ht="12.75" thickBot="1">
      <c r="A8" s="470"/>
      <c r="B8" s="471"/>
      <c r="C8" s="499"/>
      <c r="D8" s="506"/>
      <c r="E8" s="507"/>
      <c r="F8" s="507"/>
      <c r="G8" s="507"/>
      <c r="H8" s="507"/>
      <c r="I8" s="508"/>
      <c r="J8" s="463"/>
      <c r="K8" s="464"/>
      <c r="L8" s="464"/>
      <c r="M8" s="465"/>
      <c r="N8" s="506"/>
      <c r="O8" s="508"/>
      <c r="P8" s="506"/>
      <c r="Q8" s="507"/>
      <c r="R8" s="508"/>
      <c r="S8" s="506"/>
      <c r="T8" s="507"/>
      <c r="U8" s="507"/>
      <c r="V8" s="507"/>
      <c r="W8" s="507"/>
      <c r="X8" s="507"/>
      <c r="Y8" s="507"/>
      <c r="Z8" s="507"/>
      <c r="AA8" s="508"/>
      <c r="AB8" s="463"/>
      <c r="AC8" s="464"/>
      <c r="AD8" s="464"/>
      <c r="AE8" s="465"/>
      <c r="AF8" s="208"/>
      <c r="AG8" s="208"/>
      <c r="AH8" s="506"/>
      <c r="AI8" s="507"/>
      <c r="AJ8" s="508"/>
      <c r="AK8" s="506"/>
      <c r="AL8" s="507"/>
      <c r="AM8" s="507"/>
      <c r="AN8" s="507"/>
      <c r="AO8" s="507"/>
      <c r="AP8" s="507"/>
      <c r="AQ8" s="507"/>
      <c r="AR8" s="508"/>
      <c r="AS8" s="463"/>
      <c r="AT8" s="464"/>
      <c r="AU8" s="464"/>
      <c r="AV8" s="465"/>
      <c r="AW8" s="470"/>
      <c r="AX8" s="471"/>
      <c r="AY8" s="499"/>
    </row>
    <row r="12" spans="6:9" ht="25.5">
      <c r="F12" s="2" t="s">
        <v>3</v>
      </c>
      <c r="G12" s="2"/>
      <c r="H12" s="2"/>
      <c r="I12" s="2"/>
    </row>
    <row r="13" spans="2:47" ht="26.25" customHeight="1">
      <c r="B13" s="472" t="s">
        <v>231</v>
      </c>
      <c r="C13" s="512" t="s">
        <v>232</v>
      </c>
      <c r="D13" s="210"/>
      <c r="E13" s="474" t="s">
        <v>233</v>
      </c>
      <c r="F13" s="474" t="s">
        <v>8</v>
      </c>
      <c r="G13" s="475" t="s">
        <v>168</v>
      </c>
      <c r="H13" s="476"/>
      <c r="I13" s="477"/>
      <c r="J13" s="211"/>
      <c r="K13" s="478" t="s">
        <v>0</v>
      </c>
      <c r="L13" s="478"/>
      <c r="M13" s="478" t="s">
        <v>170</v>
      </c>
      <c r="N13" s="478"/>
      <c r="O13" s="478" t="s">
        <v>171</v>
      </c>
      <c r="P13" s="478"/>
      <c r="Q13" s="478" t="s">
        <v>172</v>
      </c>
      <c r="R13" s="478"/>
      <c r="S13" s="455" t="s">
        <v>1</v>
      </c>
      <c r="T13" s="455" t="s">
        <v>2</v>
      </c>
      <c r="U13" s="509" t="s">
        <v>234</v>
      </c>
      <c r="V13" s="510"/>
      <c r="W13" s="511"/>
      <c r="X13" s="474" t="s">
        <v>235</v>
      </c>
      <c r="Y13" s="474"/>
      <c r="Z13" s="474"/>
      <c r="AA13" s="474" t="s">
        <v>236</v>
      </c>
      <c r="AB13" s="474"/>
      <c r="AC13" s="474"/>
      <c r="AD13" s="474" t="s">
        <v>237</v>
      </c>
      <c r="AE13" s="474"/>
      <c r="AF13" s="474"/>
      <c r="AG13" s="474" t="s">
        <v>238</v>
      </c>
      <c r="AH13" s="474"/>
      <c r="AI13" s="474"/>
      <c r="AJ13" s="474" t="s">
        <v>239</v>
      </c>
      <c r="AK13" s="474"/>
      <c r="AL13" s="474"/>
      <c r="AM13" s="474" t="s">
        <v>240</v>
      </c>
      <c r="AN13" s="474"/>
      <c r="AO13" s="474"/>
      <c r="AP13" s="474" t="s">
        <v>241</v>
      </c>
      <c r="AQ13" s="474"/>
      <c r="AR13" s="474"/>
      <c r="AS13" s="474" t="s">
        <v>242</v>
      </c>
      <c r="AT13" s="474"/>
      <c r="AU13" s="474"/>
    </row>
    <row r="14" spans="1:47" ht="67.5">
      <c r="A14" s="1" t="s">
        <v>190</v>
      </c>
      <c r="B14" s="473"/>
      <c r="C14" s="513"/>
      <c r="D14" s="210" t="s">
        <v>9</v>
      </c>
      <c r="E14" s="474"/>
      <c r="F14" s="474"/>
      <c r="G14" s="4" t="s">
        <v>4</v>
      </c>
      <c r="H14" s="4" t="s">
        <v>5</v>
      </c>
      <c r="I14" s="4" t="s">
        <v>6</v>
      </c>
      <c r="J14" s="4" t="s">
        <v>7</v>
      </c>
      <c r="K14" s="3" t="s">
        <v>115</v>
      </c>
      <c r="L14" s="3" t="s">
        <v>116</v>
      </c>
      <c r="M14" s="212" t="s">
        <v>193</v>
      </c>
      <c r="N14" s="212" t="s">
        <v>194</v>
      </c>
      <c r="O14" s="3" t="s">
        <v>195</v>
      </c>
      <c r="P14" s="3" t="s">
        <v>196</v>
      </c>
      <c r="Q14" s="3" t="s">
        <v>197</v>
      </c>
      <c r="R14" s="3" t="s">
        <v>196</v>
      </c>
      <c r="S14" s="455"/>
      <c r="T14" s="455"/>
      <c r="U14" s="3" t="s">
        <v>243</v>
      </c>
      <c r="V14" s="3" t="s">
        <v>244</v>
      </c>
      <c r="W14" s="3" t="s">
        <v>245</v>
      </c>
      <c r="X14" s="3" t="s">
        <v>243</v>
      </c>
      <c r="Y14" s="3" t="s">
        <v>244</v>
      </c>
      <c r="Z14" s="3" t="s">
        <v>245</v>
      </c>
      <c r="AA14" s="3" t="s">
        <v>243</v>
      </c>
      <c r="AB14" s="3" t="s">
        <v>244</v>
      </c>
      <c r="AC14" s="3" t="s">
        <v>245</v>
      </c>
      <c r="AD14" s="3" t="s">
        <v>243</v>
      </c>
      <c r="AE14" s="3" t="s">
        <v>244</v>
      </c>
      <c r="AF14" s="3" t="s">
        <v>245</v>
      </c>
      <c r="AG14" s="3" t="s">
        <v>243</v>
      </c>
      <c r="AH14" s="3" t="s">
        <v>244</v>
      </c>
      <c r="AI14" s="3" t="s">
        <v>245</v>
      </c>
      <c r="AJ14" s="3" t="s">
        <v>243</v>
      </c>
      <c r="AK14" s="3" t="s">
        <v>244</v>
      </c>
      <c r="AL14" s="3" t="s">
        <v>245</v>
      </c>
      <c r="AM14" s="3" t="s">
        <v>243</v>
      </c>
      <c r="AN14" s="3" t="s">
        <v>244</v>
      </c>
      <c r="AO14" s="3" t="s">
        <v>245</v>
      </c>
      <c r="AP14" s="3" t="s">
        <v>243</v>
      </c>
      <c r="AQ14" s="3" t="s">
        <v>244</v>
      </c>
      <c r="AR14" s="3" t="s">
        <v>245</v>
      </c>
      <c r="AS14" s="3" t="s">
        <v>243</v>
      </c>
      <c r="AT14" s="3" t="s">
        <v>244</v>
      </c>
      <c r="AU14" s="3" t="s">
        <v>245</v>
      </c>
    </row>
    <row r="15" spans="1:56" s="6" customFormat="1" ht="324" outlineLevel="2">
      <c r="A15" s="213" t="s">
        <v>200</v>
      </c>
      <c r="B15" s="213" t="s">
        <v>201</v>
      </c>
      <c r="C15" s="214">
        <v>872</v>
      </c>
      <c r="D15" s="215" t="s">
        <v>205</v>
      </c>
      <c r="E15" s="214">
        <v>1</v>
      </c>
      <c r="F15" s="215" t="s">
        <v>35</v>
      </c>
      <c r="G15" s="216" t="s">
        <v>26</v>
      </c>
      <c r="H15" s="217"/>
      <c r="I15" s="217"/>
      <c r="J15" s="215" t="s">
        <v>38</v>
      </c>
      <c r="K15" s="218">
        <v>0.25</v>
      </c>
      <c r="L15" s="219">
        <v>0.145833333333333</v>
      </c>
      <c r="M15" s="220">
        <v>126245420</v>
      </c>
      <c r="N15" s="221">
        <v>66480000</v>
      </c>
      <c r="O15" s="222">
        <v>66480000</v>
      </c>
      <c r="P15" s="222">
        <f>17728000+5540000</f>
        <v>23268000</v>
      </c>
      <c r="Q15" s="220">
        <v>5831100</v>
      </c>
      <c r="R15" s="222">
        <f>5301000+530100</f>
        <v>5831100</v>
      </c>
      <c r="S15" s="223" t="s">
        <v>246</v>
      </c>
      <c r="T15" s="224"/>
      <c r="U15" s="222">
        <f aca="true" t="shared" si="0" ref="U15:V17">N15</f>
        <v>66480000</v>
      </c>
      <c r="V15" s="222">
        <f t="shared" si="0"/>
        <v>66480000</v>
      </c>
      <c r="W15" s="225">
        <f>IF(U15=0,"",V15/U15)</f>
        <v>1</v>
      </c>
      <c r="X15" s="226"/>
      <c r="Y15" s="226"/>
      <c r="Z15" s="225">
        <f>IF(X15=0,"",Y15/X15)</f>
      </c>
      <c r="AA15" s="226"/>
      <c r="AB15" s="226"/>
      <c r="AC15" s="225">
        <f>IF(AA15=0,"",AB15/AA15)</f>
      </c>
      <c r="AD15" s="226"/>
      <c r="AE15" s="226"/>
      <c r="AF15" s="225">
        <f>IF(AD15=0,"",AE15/AD15)</f>
      </c>
      <c r="AG15" s="226"/>
      <c r="AH15" s="226"/>
      <c r="AI15" s="225">
        <f>IF(AG15=0,"",AH15/AG15)</f>
      </c>
      <c r="AJ15" s="226"/>
      <c r="AK15" s="226"/>
      <c r="AL15" s="225">
        <f>IF(AJ15=0,"",AK15/AJ15)</f>
      </c>
      <c r="AM15" s="226"/>
      <c r="AN15" s="226"/>
      <c r="AO15" s="225">
        <f>IF(AM15=0,"",AN15/AM15)</f>
      </c>
      <c r="AP15" s="226"/>
      <c r="AQ15" s="226"/>
      <c r="AR15" s="225">
        <f>IF(AP15=0,"",AQ15/AP15)</f>
      </c>
      <c r="AS15" s="226"/>
      <c r="AT15" s="226"/>
      <c r="AU15" s="225">
        <f>IF(AS15=0,"",AT15/AS15)</f>
      </c>
      <c r="AW15" s="227">
        <f aca="true" t="shared" si="1" ref="AW15:AX18">+N15-O15</f>
        <v>0</v>
      </c>
      <c r="AX15" s="227" t="e">
        <f>+O15-#REF!</f>
        <v>#REF!</v>
      </c>
      <c r="AY15" s="227">
        <f>+Q15-R15</f>
        <v>0</v>
      </c>
      <c r="BA15" s="227">
        <f>+'[3]Actividades'!O15-O15</f>
        <v>-8449000</v>
      </c>
      <c r="BB15" s="227" t="e">
        <f>+'[3]Actividades'!P15-#REF!</f>
        <v>#REF!</v>
      </c>
      <c r="BC15" s="227">
        <f>+'[3]Actividades'!Q15-Q15</f>
        <v>9287567</v>
      </c>
      <c r="BD15" s="227">
        <f>+'[3]Actividades'!R15-R15</f>
        <v>9287567</v>
      </c>
    </row>
    <row r="16" spans="1:56" s="6" customFormat="1" ht="409.5" outlineLevel="2">
      <c r="A16" s="213"/>
      <c r="B16" s="213" t="s">
        <v>201</v>
      </c>
      <c r="C16" s="214">
        <v>872</v>
      </c>
      <c r="D16" s="215" t="s">
        <v>205</v>
      </c>
      <c r="E16" s="214">
        <v>2</v>
      </c>
      <c r="F16" s="215" t="s">
        <v>36</v>
      </c>
      <c r="G16" s="216" t="s">
        <v>26</v>
      </c>
      <c r="H16" s="217"/>
      <c r="I16" s="217"/>
      <c r="J16" s="215" t="s">
        <v>39</v>
      </c>
      <c r="K16" s="216">
        <v>4</v>
      </c>
      <c r="L16" s="216">
        <v>4</v>
      </c>
      <c r="M16" s="220">
        <v>420780970</v>
      </c>
      <c r="N16" s="221">
        <v>727171000</v>
      </c>
      <c r="O16" s="222">
        <v>471788000</v>
      </c>
      <c r="P16" s="222">
        <f>49285900+77887479.6666667</f>
        <v>127173379.6666667</v>
      </c>
      <c r="Q16" s="220">
        <v>47406067</v>
      </c>
      <c r="R16" s="222">
        <f>18844000+11502867+8835000</f>
        <v>39181867</v>
      </c>
      <c r="S16" s="223" t="s">
        <v>247</v>
      </c>
      <c r="T16" s="224"/>
      <c r="U16" s="222">
        <f t="shared" si="0"/>
        <v>727171000</v>
      </c>
      <c r="V16" s="222">
        <f t="shared" si="0"/>
        <v>471788000</v>
      </c>
      <c r="W16" s="225">
        <f>IF(U16=0,"",V16/U16)</f>
        <v>0.648799250795205</v>
      </c>
      <c r="X16" s="226"/>
      <c r="Y16" s="226"/>
      <c r="Z16" s="225"/>
      <c r="AA16" s="226"/>
      <c r="AB16" s="226"/>
      <c r="AC16" s="225"/>
      <c r="AD16" s="226"/>
      <c r="AE16" s="226"/>
      <c r="AF16" s="225"/>
      <c r="AG16" s="226"/>
      <c r="AH16" s="226"/>
      <c r="AI16" s="225"/>
      <c r="AJ16" s="226"/>
      <c r="AK16" s="226"/>
      <c r="AL16" s="225"/>
      <c r="AM16" s="226"/>
      <c r="AN16" s="226"/>
      <c r="AO16" s="225"/>
      <c r="AP16" s="226"/>
      <c r="AQ16" s="226"/>
      <c r="AR16" s="225"/>
      <c r="AS16" s="226"/>
      <c r="AT16" s="226"/>
      <c r="AU16" s="225"/>
      <c r="AW16" s="227">
        <f t="shared" si="1"/>
        <v>255383000</v>
      </c>
      <c r="AX16" s="227">
        <f t="shared" si="1"/>
        <v>344614620.3333333</v>
      </c>
      <c r="AY16" s="227">
        <f>+Q16-R16</f>
        <v>8224200</v>
      </c>
      <c r="BA16" s="227">
        <f>+'[3]Actividades'!O16-O16</f>
        <v>129219320</v>
      </c>
      <c r="BB16" s="227">
        <f>+'[3]Actividades'!P16-P16</f>
        <v>103680474.3333333</v>
      </c>
      <c r="BC16" s="227">
        <f>+'[3]Actividades'!Q16-Q16</f>
        <v>32426032</v>
      </c>
      <c r="BD16" s="227">
        <f>+'[3]Actividades'!R16-R16</f>
        <v>40650232</v>
      </c>
    </row>
    <row r="17" spans="1:56" s="6" customFormat="1" ht="409.5" outlineLevel="2">
      <c r="A17" s="213"/>
      <c r="B17" s="213" t="s">
        <v>201</v>
      </c>
      <c r="C17" s="214">
        <v>872</v>
      </c>
      <c r="D17" s="215" t="s">
        <v>205</v>
      </c>
      <c r="E17" s="214">
        <v>3</v>
      </c>
      <c r="F17" s="215" t="s">
        <v>248</v>
      </c>
      <c r="G17" s="216" t="s">
        <v>26</v>
      </c>
      <c r="H17" s="217"/>
      <c r="I17" s="217"/>
      <c r="J17" s="215" t="s">
        <v>40</v>
      </c>
      <c r="K17" s="216">
        <v>6</v>
      </c>
      <c r="L17" s="228">
        <v>0</v>
      </c>
      <c r="M17" s="220">
        <v>453380610</v>
      </c>
      <c r="N17" s="222">
        <v>171740000</v>
      </c>
      <c r="O17" s="222">
        <v>171740000</v>
      </c>
      <c r="P17" s="222">
        <f>26407334+11080000</f>
        <v>37487334</v>
      </c>
      <c r="Q17" s="220">
        <v>53540100</v>
      </c>
      <c r="R17" s="222">
        <f>15903000+11132100+9365100+2650500+2297100</f>
        <v>41347800</v>
      </c>
      <c r="S17" s="223" t="s">
        <v>249</v>
      </c>
      <c r="T17" s="229"/>
      <c r="U17" s="222">
        <f t="shared" si="0"/>
        <v>171740000</v>
      </c>
      <c r="V17" s="222">
        <f t="shared" si="0"/>
        <v>171740000</v>
      </c>
      <c r="W17" s="225">
        <f>IF(U17=0,"",V17/U17)</f>
        <v>1</v>
      </c>
      <c r="X17" s="226"/>
      <c r="Y17" s="226"/>
      <c r="Z17" s="225"/>
      <c r="AA17" s="226"/>
      <c r="AB17" s="226"/>
      <c r="AC17" s="225"/>
      <c r="AD17" s="226"/>
      <c r="AE17" s="226"/>
      <c r="AF17" s="225"/>
      <c r="AG17" s="226"/>
      <c r="AH17" s="226"/>
      <c r="AI17" s="225"/>
      <c r="AJ17" s="226"/>
      <c r="AK17" s="226"/>
      <c r="AL17" s="225"/>
      <c r="AM17" s="226"/>
      <c r="AN17" s="226"/>
      <c r="AO17" s="225"/>
      <c r="AP17" s="226"/>
      <c r="AQ17" s="226"/>
      <c r="AR17" s="225"/>
      <c r="AS17" s="226"/>
      <c r="AT17" s="226"/>
      <c r="AU17" s="225"/>
      <c r="AW17" s="227">
        <f t="shared" si="1"/>
        <v>0</v>
      </c>
      <c r="AX17" s="227" t="e">
        <f>+O17-#REF!</f>
        <v>#REF!</v>
      </c>
      <c r="AY17" s="227">
        <f>+Q17-R17</f>
        <v>12192300</v>
      </c>
      <c r="BA17" s="227">
        <f>+'[3]Actividades'!O17-O17</f>
        <v>278172000</v>
      </c>
      <c r="BB17" s="227" t="e">
        <f>+'[3]Actividades'!P17-#REF!</f>
        <v>#REF!</v>
      </c>
      <c r="BC17" s="227">
        <f>+'[3]Actividades'!Q17-Q17</f>
        <v>1658566</v>
      </c>
      <c r="BD17" s="227">
        <f>+'[3]Actividades'!R17-R17</f>
        <v>13850866</v>
      </c>
    </row>
    <row r="18" spans="1:56" s="238" customFormat="1" ht="15">
      <c r="A18" s="230" t="s">
        <v>250</v>
      </c>
      <c r="B18" s="230"/>
      <c r="C18" s="231"/>
      <c r="D18" s="231"/>
      <c r="E18" s="231"/>
      <c r="F18" s="232"/>
      <c r="G18" s="232"/>
      <c r="H18" s="232"/>
      <c r="I18" s="232"/>
      <c r="J18" s="231"/>
      <c r="K18" s="233"/>
      <c r="L18" s="234"/>
      <c r="M18" s="235">
        <f aca="true" t="shared" si="2" ref="M18:V18">SUBTOTAL(9,M15:M17)</f>
        <v>1000407000</v>
      </c>
      <c r="N18" s="235">
        <f t="shared" si="2"/>
        <v>965391000</v>
      </c>
      <c r="O18" s="236">
        <f t="shared" si="2"/>
        <v>710008000</v>
      </c>
      <c r="P18" s="235">
        <f>SUBTOTAL(9,P15:P17)</f>
        <v>187928713.6666667</v>
      </c>
      <c r="Q18" s="235">
        <f t="shared" si="2"/>
        <v>106777267</v>
      </c>
      <c r="R18" s="235">
        <f t="shared" si="2"/>
        <v>86360767</v>
      </c>
      <c r="S18" s="235">
        <f t="shared" si="2"/>
        <v>0</v>
      </c>
      <c r="T18" s="235">
        <f t="shared" si="2"/>
        <v>0</v>
      </c>
      <c r="U18" s="235">
        <f t="shared" si="2"/>
        <v>965391000</v>
      </c>
      <c r="V18" s="235">
        <f t="shared" si="2"/>
        <v>710008000</v>
      </c>
      <c r="W18" s="237"/>
      <c r="X18" s="235">
        <f>SUBTOTAL(9,X15:X17)</f>
        <v>0</v>
      </c>
      <c r="Y18" s="235">
        <f>SUBTOTAL(9,Y15:Y17)</f>
        <v>0</v>
      </c>
      <c r="Z18" s="235"/>
      <c r="AA18" s="235">
        <f>SUBTOTAL(9,AA15:AA17)</f>
        <v>0</v>
      </c>
      <c r="AB18" s="235">
        <f>SUBTOTAL(9,AB15:AB17)</f>
        <v>0</v>
      </c>
      <c r="AC18" s="235"/>
      <c r="AD18" s="235">
        <f>SUBTOTAL(9,AD15:AD17)</f>
        <v>0</v>
      </c>
      <c r="AE18" s="235">
        <f>SUBTOTAL(9,AE15:AE17)</f>
        <v>0</v>
      </c>
      <c r="AF18" s="235"/>
      <c r="AG18" s="235">
        <f>SUBTOTAL(9,AG15:AG17)</f>
        <v>0</v>
      </c>
      <c r="AH18" s="235">
        <f>SUBTOTAL(9,AH15:AH17)</f>
        <v>0</v>
      </c>
      <c r="AI18" s="235"/>
      <c r="AJ18" s="235">
        <f>SUBTOTAL(9,AJ15:AJ17)</f>
        <v>0</v>
      </c>
      <c r="AK18" s="235">
        <f>SUBTOTAL(9,AK15:AK17)</f>
        <v>0</v>
      </c>
      <c r="AL18" s="235"/>
      <c r="AM18" s="235">
        <f>SUBTOTAL(9,AM15:AM17)</f>
        <v>0</v>
      </c>
      <c r="AN18" s="235">
        <f>SUBTOTAL(9,AN15:AN17)</f>
        <v>0</v>
      </c>
      <c r="AO18" s="235"/>
      <c r="AP18" s="235">
        <f>SUBTOTAL(9,AP15:AP17)</f>
        <v>0</v>
      </c>
      <c r="AQ18" s="235">
        <f>SUBTOTAL(9,AQ15:AQ17)</f>
        <v>0</v>
      </c>
      <c r="AR18" s="235"/>
      <c r="AS18" s="235">
        <f>SUBTOTAL(9,AS15:AS17)</f>
        <v>0</v>
      </c>
      <c r="AT18" s="235">
        <f>SUBTOTAL(9,AT15:AT17)</f>
        <v>0</v>
      </c>
      <c r="AU18" s="235"/>
      <c r="AW18" s="227">
        <f t="shared" si="1"/>
        <v>255383000</v>
      </c>
      <c r="AX18" s="227">
        <f t="shared" si="1"/>
        <v>522079286.3333333</v>
      </c>
      <c r="AY18" s="227">
        <f>+Q18-R18</f>
        <v>20416500</v>
      </c>
      <c r="AZ18" s="6"/>
      <c r="BA18" s="227">
        <f>+'[3]Actividades'!O18-O18</f>
        <v>398942320</v>
      </c>
      <c r="BB18" s="227">
        <f>+'[3]Actividades'!P18-P18</f>
        <v>271694740.3333333</v>
      </c>
      <c r="BC18" s="227">
        <f>+'[3]Actividades'!Q18-Q18</f>
        <v>43372165</v>
      </c>
      <c r="BD18" s="227">
        <f>+'[3]Actividades'!R18-R18</f>
        <v>63788665</v>
      </c>
    </row>
    <row r="19" spans="13:56" ht="15">
      <c r="M19" s="239"/>
      <c r="N19" s="240"/>
      <c r="O19" s="241"/>
      <c r="P19" s="239"/>
      <c r="Q19" s="239"/>
      <c r="R19" s="239"/>
      <c r="U19" s="242"/>
      <c r="V19" s="242"/>
      <c r="AW19" s="227"/>
      <c r="AX19" s="227"/>
      <c r="AY19" s="227"/>
      <c r="AZ19" s="6"/>
      <c r="BA19" s="227"/>
      <c r="BB19" s="227"/>
      <c r="BC19" s="227"/>
      <c r="BD19" s="227"/>
    </row>
    <row r="20" spans="13:56" ht="15">
      <c r="M20" s="239"/>
      <c r="N20" s="239"/>
      <c r="O20" s="239"/>
      <c r="P20" s="239"/>
      <c r="Q20" s="239"/>
      <c r="R20" s="239"/>
      <c r="U20" s="242"/>
      <c r="V20" s="242"/>
      <c r="AW20" s="227"/>
      <c r="AX20" s="227"/>
      <c r="AY20" s="227"/>
      <c r="AZ20" s="6"/>
      <c r="BA20" s="227"/>
      <c r="BB20" s="227"/>
      <c r="BC20" s="227"/>
      <c r="BD20" s="227"/>
    </row>
    <row r="21" spans="14:56" ht="15">
      <c r="N21" s="243"/>
      <c r="O21" s="244"/>
      <c r="Q21" s="242"/>
      <c r="R21" s="245"/>
      <c r="U21" s="242"/>
      <c r="V21" s="242"/>
      <c r="AW21" s="227"/>
      <c r="AX21" s="227"/>
      <c r="AY21" s="227"/>
      <c r="AZ21" s="6"/>
      <c r="BA21" s="227"/>
      <c r="BB21" s="227"/>
      <c r="BC21" s="227"/>
      <c r="BD21" s="227"/>
    </row>
    <row r="22" spans="14:56" ht="15">
      <c r="N22" s="246"/>
      <c r="O22" s="247"/>
      <c r="AW22" s="227"/>
      <c r="AX22" s="227"/>
      <c r="AY22" s="227"/>
      <c r="AZ22" s="6"/>
      <c r="BA22" s="227"/>
      <c r="BB22" s="227"/>
      <c r="BC22" s="227"/>
      <c r="BD22" s="227"/>
    </row>
    <row r="25" ht="15">
      <c r="N25" s="246"/>
    </row>
    <row r="26" ht="15">
      <c r="N26" s="246"/>
    </row>
    <row r="27" ht="15">
      <c r="N27" s="246"/>
    </row>
    <row r="28" ht="15">
      <c r="N28" s="246"/>
    </row>
    <row r="29" ht="15">
      <c r="N29" s="246"/>
    </row>
    <row r="30" ht="15">
      <c r="N30" s="246"/>
    </row>
  </sheetData>
  <sheetProtection password="C61F" sheet="1"/>
  <autoFilter ref="A14:AU17"/>
  <mergeCells count="31">
    <mergeCell ref="AM13:AO13"/>
    <mergeCell ref="AP13:AR13"/>
    <mergeCell ref="AS13:AU13"/>
    <mergeCell ref="U13:W13"/>
    <mergeCell ref="X13:Z13"/>
    <mergeCell ref="AA13:AC13"/>
    <mergeCell ref="AD13:AF13"/>
    <mergeCell ref="AG13:AI13"/>
    <mergeCell ref="AJ13:AL13"/>
    <mergeCell ref="K13:L13"/>
    <mergeCell ref="M13:N13"/>
    <mergeCell ref="O13:P13"/>
    <mergeCell ref="Q13:R13"/>
    <mergeCell ref="S13:S14"/>
    <mergeCell ref="T13:T14"/>
    <mergeCell ref="AB1:AE8"/>
    <mergeCell ref="AH1:AJ8"/>
    <mergeCell ref="AK1:AR8"/>
    <mergeCell ref="AS1:AV8"/>
    <mergeCell ref="AW1:AY8"/>
    <mergeCell ref="B13:B14"/>
    <mergeCell ref="C13:C14"/>
    <mergeCell ref="E13:E14"/>
    <mergeCell ref="F13:F14"/>
    <mergeCell ref="G13:I13"/>
    <mergeCell ref="A1:C8"/>
    <mergeCell ref="D1:I8"/>
    <mergeCell ref="J1:M8"/>
    <mergeCell ref="N1:O8"/>
    <mergeCell ref="P1:R8"/>
    <mergeCell ref="S1:AA8"/>
  </mergeCells>
  <printOptions/>
  <pageMargins left="0.7" right="0.7" top="0.75" bottom="0.75" header="0.3" footer="0.3"/>
  <pageSetup fitToWidth="0" fitToHeight="1" orientation="landscape" scale="44" r:id="rId2"/>
  <drawing r:id="rId1"/>
</worksheet>
</file>

<file path=xl/worksheets/sheet5.xml><?xml version="1.0" encoding="utf-8"?>
<worksheet xmlns="http://schemas.openxmlformats.org/spreadsheetml/2006/main" xmlns:r="http://schemas.openxmlformats.org/officeDocument/2006/relationships">
  <sheetPr codeName="Hoja6">
    <tabColor rgb="FF00B0F0"/>
  </sheetPr>
  <dimension ref="A1:CE340"/>
  <sheetViews>
    <sheetView showGridLines="0" zoomScalePageLayoutView="0" workbookViewId="0" topLeftCell="H10">
      <selection activeCell="I16" sqref="I16:I31"/>
    </sheetView>
  </sheetViews>
  <sheetFormatPr defaultColWidth="11.421875" defaultRowHeight="15"/>
  <cols>
    <col min="1" max="1" width="3.00390625" style="5" hidden="1" customWidth="1"/>
    <col min="2" max="3" width="2.57421875" style="5" hidden="1" customWidth="1"/>
    <col min="4" max="4" width="3.140625" style="5" hidden="1" customWidth="1"/>
    <col min="5" max="5" width="3.7109375" style="5" hidden="1" customWidth="1"/>
    <col min="6" max="6" width="6.28125" style="5" hidden="1" customWidth="1"/>
    <col min="7" max="7" width="7.421875" style="5" hidden="1" customWidth="1"/>
    <col min="8" max="8" width="9.28125" style="6" customWidth="1"/>
    <col min="9" max="9" width="40.7109375" style="6" customWidth="1"/>
    <col min="10" max="10" width="6.28125" style="6" customWidth="1"/>
    <col min="11" max="12" width="5.57421875" style="6" customWidth="1"/>
    <col min="13" max="13" width="7.7109375" style="6" customWidth="1"/>
    <col min="14" max="14" width="19.7109375" style="6" customWidth="1"/>
    <col min="15" max="15" width="11.7109375" style="6" customWidth="1"/>
    <col min="16" max="16" width="12.57421875" style="6" customWidth="1"/>
    <col min="17" max="17" width="21.00390625" style="5" bestFit="1" customWidth="1"/>
    <col min="18" max="18" width="21.140625" style="5" customWidth="1"/>
    <col min="19" max="19" width="21.8515625" style="5" customWidth="1"/>
    <col min="20" max="20" width="19.7109375" style="5" customWidth="1"/>
    <col min="21" max="22" width="16.8515625" style="5" customWidth="1"/>
    <col min="23" max="27" width="50.7109375" style="5" customWidth="1"/>
    <col min="28" max="28" width="35.28125" style="5" customWidth="1"/>
    <col min="29" max="44" width="10.7109375" style="5" customWidth="1"/>
    <col min="45" max="47" width="11.421875" style="5" customWidth="1"/>
    <col min="48" max="48" width="5.57421875" style="5" customWidth="1"/>
    <col min="49" max="56" width="11.421875" style="5" customWidth="1"/>
    <col min="57" max="58" width="14.8515625" style="5" customWidth="1"/>
    <col min="59" max="59" width="14.421875" style="5" customWidth="1"/>
    <col min="60" max="60" width="18.00390625" style="5" customWidth="1"/>
    <col min="61" max="62" width="14.00390625" style="5" customWidth="1"/>
    <col min="63" max="65" width="11.421875" style="5" customWidth="1"/>
    <col min="66" max="83" width="11.421875" style="6" customWidth="1"/>
    <col min="84" max="16384" width="11.421875" style="5" customWidth="1"/>
  </cols>
  <sheetData>
    <row r="1" spans="1:44" s="153" customFormat="1" ht="14.25" customHeight="1">
      <c r="A1" s="479"/>
      <c r="B1" s="480"/>
      <c r="C1" s="480"/>
      <c r="D1" s="481"/>
      <c r="E1" s="488" t="s">
        <v>159</v>
      </c>
      <c r="F1" s="489"/>
      <c r="G1" s="489"/>
      <c r="H1" s="489"/>
      <c r="I1" s="489"/>
      <c r="J1" s="489"/>
      <c r="K1" s="489"/>
      <c r="L1" s="489"/>
      <c r="M1" s="489"/>
      <c r="N1" s="490"/>
      <c r="O1" s="457" t="s">
        <v>160</v>
      </c>
      <c r="P1" s="458"/>
      <c r="Q1" s="458"/>
      <c r="R1" s="459"/>
      <c r="S1" s="466"/>
      <c r="T1" s="467"/>
      <c r="U1" s="467"/>
      <c r="V1" s="152"/>
      <c r="W1" s="466"/>
      <c r="X1" s="467"/>
      <c r="Y1" s="497"/>
      <c r="Z1" s="500" t="s">
        <v>161</v>
      </c>
      <c r="AA1" s="501"/>
      <c r="AB1" s="501"/>
      <c r="AC1" s="501"/>
      <c r="AD1" s="501"/>
      <c r="AE1" s="501"/>
      <c r="AF1" s="501"/>
      <c r="AG1" s="501"/>
      <c r="AH1" s="501"/>
      <c r="AI1" s="501"/>
      <c r="AJ1" s="502"/>
      <c r="AK1" s="457" t="s">
        <v>160</v>
      </c>
      <c r="AL1" s="458"/>
      <c r="AM1" s="458"/>
      <c r="AN1" s="459"/>
      <c r="AO1" s="466"/>
      <c r="AP1" s="467"/>
      <c r="AQ1" s="467"/>
      <c r="AR1" s="152"/>
    </row>
    <row r="2" spans="1:44" s="153" customFormat="1" ht="15" customHeight="1">
      <c r="A2" s="482"/>
      <c r="B2" s="483"/>
      <c r="C2" s="483"/>
      <c r="D2" s="484"/>
      <c r="E2" s="491"/>
      <c r="F2" s="492"/>
      <c r="G2" s="492"/>
      <c r="H2" s="492"/>
      <c r="I2" s="492"/>
      <c r="J2" s="492"/>
      <c r="K2" s="492"/>
      <c r="L2" s="492"/>
      <c r="M2" s="492"/>
      <c r="N2" s="493"/>
      <c r="O2" s="460"/>
      <c r="P2" s="461"/>
      <c r="Q2" s="461"/>
      <c r="R2" s="462"/>
      <c r="S2" s="468"/>
      <c r="T2" s="469"/>
      <c r="U2" s="469"/>
      <c r="V2" s="154"/>
      <c r="W2" s="468"/>
      <c r="X2" s="469"/>
      <c r="Y2" s="498"/>
      <c r="Z2" s="503"/>
      <c r="AA2" s="504"/>
      <c r="AB2" s="504"/>
      <c r="AC2" s="504"/>
      <c r="AD2" s="504"/>
      <c r="AE2" s="504"/>
      <c r="AF2" s="504"/>
      <c r="AG2" s="504"/>
      <c r="AH2" s="504"/>
      <c r="AI2" s="504"/>
      <c r="AJ2" s="505"/>
      <c r="AK2" s="460"/>
      <c r="AL2" s="461"/>
      <c r="AM2" s="461"/>
      <c r="AN2" s="462"/>
      <c r="AO2" s="468"/>
      <c r="AP2" s="469"/>
      <c r="AQ2" s="469"/>
      <c r="AR2" s="154"/>
    </row>
    <row r="3" spans="1:44" s="153" customFormat="1" ht="15" customHeight="1">
      <c r="A3" s="482"/>
      <c r="B3" s="483"/>
      <c r="C3" s="483"/>
      <c r="D3" s="484"/>
      <c r="E3" s="491"/>
      <c r="F3" s="492"/>
      <c r="G3" s="492"/>
      <c r="H3" s="492"/>
      <c r="I3" s="492"/>
      <c r="J3" s="492"/>
      <c r="K3" s="492"/>
      <c r="L3" s="492"/>
      <c r="M3" s="492"/>
      <c r="N3" s="493"/>
      <c r="O3" s="460"/>
      <c r="P3" s="461"/>
      <c r="Q3" s="461"/>
      <c r="R3" s="462"/>
      <c r="S3" s="468"/>
      <c r="T3" s="469"/>
      <c r="U3" s="469"/>
      <c r="V3" s="154"/>
      <c r="W3" s="468"/>
      <c r="X3" s="469"/>
      <c r="Y3" s="498"/>
      <c r="Z3" s="503"/>
      <c r="AA3" s="504"/>
      <c r="AB3" s="504"/>
      <c r="AC3" s="504"/>
      <c r="AD3" s="504"/>
      <c r="AE3" s="504"/>
      <c r="AF3" s="504"/>
      <c r="AG3" s="504"/>
      <c r="AH3" s="504"/>
      <c r="AI3" s="504"/>
      <c r="AJ3" s="505"/>
      <c r="AK3" s="460"/>
      <c r="AL3" s="461"/>
      <c r="AM3" s="461"/>
      <c r="AN3" s="462"/>
      <c r="AO3" s="468"/>
      <c r="AP3" s="469"/>
      <c r="AQ3" s="469"/>
      <c r="AR3" s="154"/>
    </row>
    <row r="4" spans="1:44" s="153" customFormat="1" ht="15" customHeight="1">
      <c r="A4" s="482"/>
      <c r="B4" s="483"/>
      <c r="C4" s="483"/>
      <c r="D4" s="484"/>
      <c r="E4" s="491"/>
      <c r="F4" s="492"/>
      <c r="G4" s="492"/>
      <c r="H4" s="492"/>
      <c r="I4" s="492"/>
      <c r="J4" s="492"/>
      <c r="K4" s="492"/>
      <c r="L4" s="492"/>
      <c r="M4" s="492"/>
      <c r="N4" s="493"/>
      <c r="O4" s="460"/>
      <c r="P4" s="461"/>
      <c r="Q4" s="461"/>
      <c r="R4" s="462"/>
      <c r="S4" s="468"/>
      <c r="T4" s="469"/>
      <c r="U4" s="469"/>
      <c r="V4" s="154"/>
      <c r="W4" s="468"/>
      <c r="X4" s="469"/>
      <c r="Y4" s="498"/>
      <c r="Z4" s="503"/>
      <c r="AA4" s="504"/>
      <c r="AB4" s="504"/>
      <c r="AC4" s="504"/>
      <c r="AD4" s="504"/>
      <c r="AE4" s="504"/>
      <c r="AF4" s="504"/>
      <c r="AG4" s="504"/>
      <c r="AH4" s="504"/>
      <c r="AI4" s="504"/>
      <c r="AJ4" s="505"/>
      <c r="AK4" s="460"/>
      <c r="AL4" s="461"/>
      <c r="AM4" s="461"/>
      <c r="AN4" s="462"/>
      <c r="AO4" s="468"/>
      <c r="AP4" s="469"/>
      <c r="AQ4" s="469"/>
      <c r="AR4" s="154"/>
    </row>
    <row r="5" spans="1:44" s="153" customFormat="1" ht="15" customHeight="1">
      <c r="A5" s="482"/>
      <c r="B5" s="483"/>
      <c r="C5" s="483"/>
      <c r="D5" s="484"/>
      <c r="E5" s="491"/>
      <c r="F5" s="492"/>
      <c r="G5" s="492"/>
      <c r="H5" s="492"/>
      <c r="I5" s="492"/>
      <c r="J5" s="492"/>
      <c r="K5" s="492"/>
      <c r="L5" s="492"/>
      <c r="M5" s="492"/>
      <c r="N5" s="493"/>
      <c r="O5" s="460"/>
      <c r="P5" s="461"/>
      <c r="Q5" s="461"/>
      <c r="R5" s="462"/>
      <c r="S5" s="468"/>
      <c r="T5" s="469"/>
      <c r="U5" s="469"/>
      <c r="V5" s="154"/>
      <c r="W5" s="468"/>
      <c r="X5" s="469"/>
      <c r="Y5" s="498"/>
      <c r="Z5" s="503"/>
      <c r="AA5" s="504"/>
      <c r="AB5" s="504"/>
      <c r="AC5" s="504"/>
      <c r="AD5" s="504"/>
      <c r="AE5" s="504"/>
      <c r="AF5" s="504"/>
      <c r="AG5" s="504"/>
      <c r="AH5" s="504"/>
      <c r="AI5" s="504"/>
      <c r="AJ5" s="505"/>
      <c r="AK5" s="460"/>
      <c r="AL5" s="461"/>
      <c r="AM5" s="461"/>
      <c r="AN5" s="462"/>
      <c r="AO5" s="468"/>
      <c r="AP5" s="469"/>
      <c r="AQ5" s="469"/>
      <c r="AR5" s="154"/>
    </row>
    <row r="6" spans="1:44" s="153" customFormat="1" ht="15" customHeight="1">
      <c r="A6" s="482"/>
      <c r="B6" s="483"/>
      <c r="C6" s="483"/>
      <c r="D6" s="484"/>
      <c r="E6" s="491"/>
      <c r="F6" s="492"/>
      <c r="G6" s="492"/>
      <c r="H6" s="492"/>
      <c r="I6" s="492"/>
      <c r="J6" s="492"/>
      <c r="K6" s="492"/>
      <c r="L6" s="492"/>
      <c r="M6" s="492"/>
      <c r="N6" s="493"/>
      <c r="O6" s="460"/>
      <c r="P6" s="461"/>
      <c r="Q6" s="461"/>
      <c r="R6" s="462"/>
      <c r="S6" s="468"/>
      <c r="T6" s="469"/>
      <c r="U6" s="469"/>
      <c r="V6" s="154"/>
      <c r="W6" s="468"/>
      <c r="X6" s="469"/>
      <c r="Y6" s="498"/>
      <c r="Z6" s="503"/>
      <c r="AA6" s="504"/>
      <c r="AB6" s="504"/>
      <c r="AC6" s="504"/>
      <c r="AD6" s="504"/>
      <c r="AE6" s="504"/>
      <c r="AF6" s="504"/>
      <c r="AG6" s="504"/>
      <c r="AH6" s="504"/>
      <c r="AI6" s="504"/>
      <c r="AJ6" s="505"/>
      <c r="AK6" s="460"/>
      <c r="AL6" s="461"/>
      <c r="AM6" s="461"/>
      <c r="AN6" s="462"/>
      <c r="AO6" s="468"/>
      <c r="AP6" s="469"/>
      <c r="AQ6" s="469"/>
      <c r="AR6" s="154"/>
    </row>
    <row r="7" spans="1:44" s="153" customFormat="1" ht="15" customHeight="1">
      <c r="A7" s="482"/>
      <c r="B7" s="483"/>
      <c r="C7" s="483"/>
      <c r="D7" s="484"/>
      <c r="E7" s="491"/>
      <c r="F7" s="492"/>
      <c r="G7" s="492"/>
      <c r="H7" s="492"/>
      <c r="I7" s="492"/>
      <c r="J7" s="492"/>
      <c r="K7" s="492"/>
      <c r="L7" s="492"/>
      <c r="M7" s="492"/>
      <c r="N7" s="493"/>
      <c r="O7" s="460"/>
      <c r="P7" s="461"/>
      <c r="Q7" s="461"/>
      <c r="R7" s="462"/>
      <c r="S7" s="468"/>
      <c r="T7" s="469"/>
      <c r="U7" s="469"/>
      <c r="V7" s="154"/>
      <c r="W7" s="468"/>
      <c r="X7" s="469"/>
      <c r="Y7" s="498"/>
      <c r="Z7" s="503"/>
      <c r="AA7" s="504"/>
      <c r="AB7" s="504"/>
      <c r="AC7" s="504"/>
      <c r="AD7" s="504"/>
      <c r="AE7" s="504"/>
      <c r="AF7" s="504"/>
      <c r="AG7" s="504"/>
      <c r="AH7" s="504"/>
      <c r="AI7" s="504"/>
      <c r="AJ7" s="505"/>
      <c r="AK7" s="460"/>
      <c r="AL7" s="461"/>
      <c r="AM7" s="461"/>
      <c r="AN7" s="462"/>
      <c r="AO7" s="468"/>
      <c r="AP7" s="469"/>
      <c r="AQ7" s="469"/>
      <c r="AR7" s="154"/>
    </row>
    <row r="8" spans="1:44" s="153" customFormat="1" ht="27" customHeight="1" thickBot="1">
      <c r="A8" s="485"/>
      <c r="B8" s="486"/>
      <c r="C8" s="486"/>
      <c r="D8" s="487"/>
      <c r="E8" s="494"/>
      <c r="F8" s="495"/>
      <c r="G8" s="495"/>
      <c r="H8" s="495"/>
      <c r="I8" s="495"/>
      <c r="J8" s="495"/>
      <c r="K8" s="495"/>
      <c r="L8" s="495"/>
      <c r="M8" s="495"/>
      <c r="N8" s="496"/>
      <c r="O8" s="463"/>
      <c r="P8" s="464"/>
      <c r="Q8" s="464"/>
      <c r="R8" s="465"/>
      <c r="S8" s="470"/>
      <c r="T8" s="471"/>
      <c r="U8" s="471"/>
      <c r="V8" s="155"/>
      <c r="W8" s="470"/>
      <c r="X8" s="471"/>
      <c r="Y8" s="499"/>
      <c r="Z8" s="506"/>
      <c r="AA8" s="507"/>
      <c r="AB8" s="507"/>
      <c r="AC8" s="507"/>
      <c r="AD8" s="507"/>
      <c r="AE8" s="507"/>
      <c r="AF8" s="507"/>
      <c r="AG8" s="507"/>
      <c r="AH8" s="507"/>
      <c r="AI8" s="507"/>
      <c r="AJ8" s="508"/>
      <c r="AK8" s="463"/>
      <c r="AL8" s="464"/>
      <c r="AM8" s="464"/>
      <c r="AN8" s="465"/>
      <c r="AO8" s="470"/>
      <c r="AP8" s="471"/>
      <c r="AQ8" s="471"/>
      <c r="AR8" s="155"/>
    </row>
    <row r="9" ht="15"/>
    <row r="10" spans="9:10" ht="15">
      <c r="I10" s="248" t="s">
        <v>162</v>
      </c>
      <c r="J10" s="248"/>
    </row>
    <row r="11" spans="9:10" ht="15">
      <c r="I11" s="248" t="s">
        <v>251</v>
      </c>
      <c r="J11" s="248"/>
    </row>
    <row r="12" spans="9:10" ht="15">
      <c r="I12" s="248" t="s">
        <v>164</v>
      </c>
      <c r="J12" s="248"/>
    </row>
    <row r="13" spans="9:10" ht="15">
      <c r="I13" s="248" t="s">
        <v>252</v>
      </c>
      <c r="J13" s="248"/>
    </row>
    <row r="14" spans="7:62" ht="22.5" customHeight="1">
      <c r="G14" s="472" t="s">
        <v>166</v>
      </c>
      <c r="H14" s="474" t="s">
        <v>167</v>
      </c>
      <c r="I14" s="474" t="s">
        <v>9</v>
      </c>
      <c r="J14" s="475" t="s">
        <v>168</v>
      </c>
      <c r="K14" s="476"/>
      <c r="L14" s="477"/>
      <c r="M14" s="151"/>
      <c r="N14" s="151"/>
      <c r="O14" s="478" t="s">
        <v>0</v>
      </c>
      <c r="P14" s="478"/>
      <c r="Q14" s="478" t="s">
        <v>170</v>
      </c>
      <c r="R14" s="478"/>
      <c r="S14" s="478" t="s">
        <v>171</v>
      </c>
      <c r="T14" s="478"/>
      <c r="U14" s="478" t="s">
        <v>172</v>
      </c>
      <c r="V14" s="478"/>
      <c r="W14" s="455" t="s">
        <v>173</v>
      </c>
      <c r="X14" s="455" t="s">
        <v>174</v>
      </c>
      <c r="Y14" s="455" t="s">
        <v>175</v>
      </c>
      <c r="Z14" s="455" t="s">
        <v>176</v>
      </c>
      <c r="AA14" s="455" t="s">
        <v>2</v>
      </c>
      <c r="AB14" s="455" t="s">
        <v>177</v>
      </c>
      <c r="AC14" s="455" t="s">
        <v>178</v>
      </c>
      <c r="AD14" s="455"/>
      <c r="AE14" s="455" t="s">
        <v>179</v>
      </c>
      <c r="AF14" s="455"/>
      <c r="AG14" s="455" t="s">
        <v>180</v>
      </c>
      <c r="AH14" s="455"/>
      <c r="AI14" s="455" t="s">
        <v>181</v>
      </c>
      <c r="AJ14" s="455"/>
      <c r="AK14" s="455" t="s">
        <v>182</v>
      </c>
      <c r="AL14" s="455"/>
      <c r="AM14" s="455" t="s">
        <v>183</v>
      </c>
      <c r="AN14" s="455"/>
      <c r="AO14" s="455" t="s">
        <v>184</v>
      </c>
      <c r="AP14" s="455"/>
      <c r="AQ14" s="455" t="s">
        <v>185</v>
      </c>
      <c r="AR14" s="455"/>
      <c r="BE14" s="456" t="s">
        <v>170</v>
      </c>
      <c r="BF14" s="456"/>
      <c r="BG14" s="456" t="s">
        <v>171</v>
      </c>
      <c r="BH14" s="456"/>
      <c r="BI14" s="456" t="s">
        <v>172</v>
      </c>
      <c r="BJ14" s="456"/>
    </row>
    <row r="15" spans="1:62" ht="30" customHeight="1" thickBot="1">
      <c r="A15" s="1" t="s">
        <v>186</v>
      </c>
      <c r="B15" s="1" t="s">
        <v>167</v>
      </c>
      <c r="C15" s="1" t="s">
        <v>187</v>
      </c>
      <c r="D15" s="1" t="s">
        <v>188</v>
      </c>
      <c r="E15" s="1" t="s">
        <v>189</v>
      </c>
      <c r="F15" s="1" t="s">
        <v>190</v>
      </c>
      <c r="G15" s="473"/>
      <c r="H15" s="474"/>
      <c r="I15" s="474"/>
      <c r="J15" s="4" t="s">
        <v>4</v>
      </c>
      <c r="K15" s="4" t="s">
        <v>5</v>
      </c>
      <c r="L15" s="4" t="s">
        <v>6</v>
      </c>
      <c r="M15" s="4" t="s">
        <v>191</v>
      </c>
      <c r="N15" s="4" t="s">
        <v>7</v>
      </c>
      <c r="O15" s="249" t="s">
        <v>115</v>
      </c>
      <c r="P15" s="3" t="s">
        <v>192</v>
      </c>
      <c r="Q15" s="3" t="s">
        <v>193</v>
      </c>
      <c r="R15" s="3" t="s">
        <v>194</v>
      </c>
      <c r="S15" s="3" t="s">
        <v>195</v>
      </c>
      <c r="T15" s="3" t="s">
        <v>196</v>
      </c>
      <c r="U15" s="3" t="s">
        <v>197</v>
      </c>
      <c r="V15" s="3" t="s">
        <v>196</v>
      </c>
      <c r="W15" s="455"/>
      <c r="X15" s="455"/>
      <c r="Y15" s="455"/>
      <c r="Z15" s="455"/>
      <c r="AA15" s="455"/>
      <c r="AB15" s="455"/>
      <c r="AC15" s="3" t="s">
        <v>198</v>
      </c>
      <c r="AD15" s="3" t="s">
        <v>199</v>
      </c>
      <c r="AE15" s="3" t="s">
        <v>198</v>
      </c>
      <c r="AF15" s="3" t="s">
        <v>199</v>
      </c>
      <c r="AG15" s="3" t="s">
        <v>198</v>
      </c>
      <c r="AH15" s="3" t="s">
        <v>199</v>
      </c>
      <c r="AI15" s="3" t="s">
        <v>198</v>
      </c>
      <c r="AJ15" s="3" t="s">
        <v>199</v>
      </c>
      <c r="AK15" s="3" t="s">
        <v>198</v>
      </c>
      <c r="AL15" s="3" t="s">
        <v>199</v>
      </c>
      <c r="AM15" s="3" t="s">
        <v>198</v>
      </c>
      <c r="AN15" s="3" t="s">
        <v>199</v>
      </c>
      <c r="AO15" s="3" t="s">
        <v>198</v>
      </c>
      <c r="AP15" s="3" t="s">
        <v>199</v>
      </c>
      <c r="AQ15" s="3" t="s">
        <v>198</v>
      </c>
      <c r="AR15" s="3" t="s">
        <v>199</v>
      </c>
      <c r="BE15" s="250" t="s">
        <v>193</v>
      </c>
      <c r="BF15" s="250" t="s">
        <v>194</v>
      </c>
      <c r="BG15" s="250" t="s">
        <v>195</v>
      </c>
      <c r="BH15" s="250" t="s">
        <v>196</v>
      </c>
      <c r="BI15" s="250" t="s">
        <v>197</v>
      </c>
      <c r="BJ15" s="250" t="s">
        <v>196</v>
      </c>
    </row>
    <row r="16" spans="1:83" s="258" customFormat="1" ht="27.75" customHeight="1">
      <c r="A16" s="251" t="s">
        <v>200</v>
      </c>
      <c r="B16" s="251" t="s">
        <v>201</v>
      </c>
      <c r="C16" s="251" t="s">
        <v>202</v>
      </c>
      <c r="D16" s="251" t="s">
        <v>203</v>
      </c>
      <c r="E16" s="251" t="s">
        <v>204</v>
      </c>
      <c r="F16" s="251" t="s">
        <v>204</v>
      </c>
      <c r="G16" s="252">
        <v>11</v>
      </c>
      <c r="H16" s="393">
        <v>879</v>
      </c>
      <c r="I16" s="544" t="s">
        <v>109</v>
      </c>
      <c r="J16" s="414"/>
      <c r="K16" s="399" t="s">
        <v>26</v>
      </c>
      <c r="L16" s="399"/>
      <c r="M16" s="399">
        <v>0</v>
      </c>
      <c r="N16" s="544" t="s">
        <v>253</v>
      </c>
      <c r="O16" s="547">
        <v>0.45</v>
      </c>
      <c r="P16" s="550">
        <v>0.12</v>
      </c>
      <c r="Q16" s="532">
        <f>SUMIF('Actividades inversión 879'!$B$13:$B$17,'Metas inversión 879'!$B16,'Actividades inversión 879'!M$13:M$17)</f>
        <v>0</v>
      </c>
      <c r="R16" s="532">
        <f>SUMIF('Actividades inversión 879'!$B$13:$B$17,'Metas inversión 879'!$B16,'Actividades inversión 879'!N$13:N$17)</f>
        <v>0</v>
      </c>
      <c r="S16" s="532">
        <f>SUMIF('Actividades inversión 879'!$B$13:$B$17,'Metas inversión 879'!$B16,'Actividades inversión 879'!O$13:O$17)</f>
        <v>0</v>
      </c>
      <c r="T16" s="532">
        <f>SUMIF('Actividades inversión 879'!$B$13:$B$17,'Metas inversión 879'!$B16,'Actividades inversión 879'!P$13:P$17)</f>
        <v>0</v>
      </c>
      <c r="U16" s="532">
        <f>SUMIF('Actividades inversión 879'!$B$13:$B$17,'Metas inversión 879'!$B16,'Actividades inversión 879'!Q$13:Q$17)</f>
        <v>0</v>
      </c>
      <c r="V16" s="532">
        <f>SUMIF('Actividades inversión 879'!$B$13:$B$17,'Metas inversión 879'!$B16,'Actividades inversión 879'!R$13:R$17)</f>
        <v>0</v>
      </c>
      <c r="W16" s="553" t="s">
        <v>254</v>
      </c>
      <c r="X16" s="556" t="s">
        <v>255</v>
      </c>
      <c r="Y16" s="553" t="s">
        <v>256</v>
      </c>
      <c r="Z16" s="559" t="s">
        <v>257</v>
      </c>
      <c r="AA16" s="553" t="s">
        <v>258</v>
      </c>
      <c r="AB16" s="253" t="s">
        <v>212</v>
      </c>
      <c r="AC16" s="254"/>
      <c r="AD16" s="254"/>
      <c r="AE16" s="254"/>
      <c r="AF16" s="254"/>
      <c r="AG16" s="254"/>
      <c r="AH16" s="254"/>
      <c r="AI16" s="254"/>
      <c r="AJ16" s="254"/>
      <c r="AK16" s="254"/>
      <c r="AL16" s="254"/>
      <c r="AM16" s="254"/>
      <c r="AN16" s="254"/>
      <c r="AO16" s="254"/>
      <c r="AP16" s="254"/>
      <c r="AQ16" s="254">
        <f aca="true" t="shared" si="0" ref="AQ16:AR21">+AC16+AE16+AG16+AI16+AK16+AM16+AO16</f>
        <v>0</v>
      </c>
      <c r="AR16" s="255">
        <f t="shared" si="0"/>
        <v>0</v>
      </c>
      <c r="AS16" s="256">
        <f>+R16-S16</f>
        <v>0</v>
      </c>
      <c r="AT16" s="256">
        <f>+S16-T16</f>
        <v>0</v>
      </c>
      <c r="AU16" s="256">
        <f>+U16-V16</f>
        <v>0</v>
      </c>
      <c r="AV16" s="6"/>
      <c r="AW16" s="256">
        <f>+'[4]Metas'!S16:S31-S16</f>
        <v>0</v>
      </c>
      <c r="AX16" s="256">
        <f>+'[4]Metas'!T16:T31-T16</f>
        <v>0</v>
      </c>
      <c r="AY16" s="256">
        <f>+'[4]Metas'!U16:U31-U16</f>
        <v>0</v>
      </c>
      <c r="AZ16" s="256">
        <f>+'[4]Metas'!V16:V31-V16</f>
        <v>0</v>
      </c>
      <c r="BA16" s="6"/>
      <c r="BB16" s="6"/>
      <c r="BC16" s="6"/>
      <c r="BD16" s="6"/>
      <c r="BE16" s="257">
        <f>SUM('[5]99-METROPOLITANO'!N14)</f>
        <v>0</v>
      </c>
      <c r="BF16" s="257">
        <f>SUM('[5]99-METROPOLITANO'!O14)</f>
        <v>0</v>
      </c>
      <c r="BG16" s="257">
        <f>SUM('[5]99-METROPOLITANO'!P14)</f>
        <v>0</v>
      </c>
      <c r="BH16" s="257">
        <f>SUM('[5]99-METROPOLITANO'!Q14)</f>
        <v>0</v>
      </c>
      <c r="BI16" s="257">
        <f>SUM('[5]99-METROPOLITANO'!R14)</f>
        <v>0</v>
      </c>
      <c r="BJ16" s="257">
        <f>SUM('[5]99-METROPOLITANO'!S14)</f>
        <v>0</v>
      </c>
      <c r="BN16" s="6"/>
      <c r="BO16" s="6"/>
      <c r="BP16" s="6"/>
      <c r="BQ16" s="6"/>
      <c r="BR16" s="6"/>
      <c r="BS16" s="6"/>
      <c r="BT16" s="6"/>
      <c r="BU16" s="6"/>
      <c r="BV16" s="6"/>
      <c r="BW16" s="6"/>
      <c r="BX16" s="6"/>
      <c r="BY16" s="6"/>
      <c r="BZ16" s="6"/>
      <c r="CA16" s="6"/>
      <c r="CB16" s="6"/>
      <c r="CC16" s="6"/>
      <c r="CD16" s="6"/>
      <c r="CE16" s="6"/>
    </row>
    <row r="17" spans="1:83" s="258" customFormat="1" ht="15.75">
      <c r="A17" s="251"/>
      <c r="B17" s="251"/>
      <c r="C17" s="251"/>
      <c r="D17" s="251"/>
      <c r="E17" s="251"/>
      <c r="F17" s="251"/>
      <c r="G17" s="252"/>
      <c r="H17" s="394"/>
      <c r="I17" s="545"/>
      <c r="J17" s="400"/>
      <c r="K17" s="400"/>
      <c r="L17" s="400"/>
      <c r="M17" s="400"/>
      <c r="N17" s="545"/>
      <c r="O17" s="548"/>
      <c r="P17" s="551"/>
      <c r="Q17" s="533"/>
      <c r="R17" s="533"/>
      <c r="S17" s="533"/>
      <c r="T17" s="533"/>
      <c r="U17" s="533"/>
      <c r="V17" s="533"/>
      <c r="W17" s="554"/>
      <c r="X17" s="557"/>
      <c r="Y17" s="554"/>
      <c r="Z17" s="560"/>
      <c r="AA17" s="554"/>
      <c r="AB17" s="259" t="s">
        <v>213</v>
      </c>
      <c r="AC17" s="260"/>
      <c r="AD17" s="260"/>
      <c r="AE17" s="260"/>
      <c r="AF17" s="260"/>
      <c r="AG17" s="260"/>
      <c r="AH17" s="260"/>
      <c r="AI17" s="260"/>
      <c r="AJ17" s="260"/>
      <c r="AK17" s="260"/>
      <c r="AL17" s="260"/>
      <c r="AM17" s="260"/>
      <c r="AN17" s="260"/>
      <c r="AO17" s="260"/>
      <c r="AP17" s="260"/>
      <c r="AQ17" s="260">
        <f t="shared" si="0"/>
        <v>0</v>
      </c>
      <c r="AR17" s="261">
        <f t="shared" si="0"/>
        <v>0</v>
      </c>
      <c r="AS17" s="256">
        <f aca="true" t="shared" si="1" ref="AS17:AT64">+R17-S17</f>
        <v>0</v>
      </c>
      <c r="AT17" s="256">
        <f t="shared" si="1"/>
        <v>0</v>
      </c>
      <c r="AU17" s="256">
        <f aca="true" t="shared" si="2" ref="AU17:AU64">+U17-V17</f>
        <v>0</v>
      </c>
      <c r="AV17" s="6"/>
      <c r="AW17" s="256">
        <f>+'[4]Metas'!S17:S32-S17</f>
        <v>0</v>
      </c>
      <c r="AX17" s="256">
        <f>+'[4]Metas'!T17:T32-T17</f>
        <v>0</v>
      </c>
      <c r="AY17" s="256">
        <f>+'[4]Metas'!U17:U32-U17</f>
        <v>0</v>
      </c>
      <c r="AZ17" s="256">
        <f>+'[4]Metas'!V17:V32-V17</f>
        <v>0</v>
      </c>
      <c r="BA17" s="6"/>
      <c r="BB17" s="6"/>
      <c r="BC17" s="6"/>
      <c r="BD17" s="6"/>
      <c r="BE17" s="262"/>
      <c r="BF17" s="262"/>
      <c r="BG17" s="262"/>
      <c r="BH17" s="262"/>
      <c r="BI17" s="262"/>
      <c r="BJ17" s="262"/>
      <c r="BN17" s="6"/>
      <c r="BO17" s="6"/>
      <c r="BP17" s="6"/>
      <c r="BQ17" s="6"/>
      <c r="BR17" s="6"/>
      <c r="BS17" s="6"/>
      <c r="BT17" s="6"/>
      <c r="BU17" s="6"/>
      <c r="BV17" s="6"/>
      <c r="BW17" s="6"/>
      <c r="BX17" s="6"/>
      <c r="BY17" s="6"/>
      <c r="BZ17" s="6"/>
      <c r="CA17" s="6"/>
      <c r="CB17" s="6"/>
      <c r="CC17" s="6"/>
      <c r="CD17" s="6"/>
      <c r="CE17" s="6"/>
    </row>
    <row r="18" spans="1:83" s="258" customFormat="1" ht="15.75">
      <c r="A18" s="251"/>
      <c r="B18" s="251"/>
      <c r="C18" s="251"/>
      <c r="D18" s="251"/>
      <c r="E18" s="251"/>
      <c r="F18" s="251"/>
      <c r="G18" s="252"/>
      <c r="H18" s="394"/>
      <c r="I18" s="545"/>
      <c r="J18" s="400"/>
      <c r="K18" s="400"/>
      <c r="L18" s="400"/>
      <c r="M18" s="400"/>
      <c r="N18" s="545"/>
      <c r="O18" s="548"/>
      <c r="P18" s="551"/>
      <c r="Q18" s="533"/>
      <c r="R18" s="533"/>
      <c r="S18" s="533"/>
      <c r="T18" s="533"/>
      <c r="U18" s="533"/>
      <c r="V18" s="533"/>
      <c r="W18" s="554"/>
      <c r="X18" s="557"/>
      <c r="Y18" s="554"/>
      <c r="Z18" s="560"/>
      <c r="AA18" s="554"/>
      <c r="AB18" s="259" t="s">
        <v>214</v>
      </c>
      <c r="AC18" s="260"/>
      <c r="AD18" s="260"/>
      <c r="AE18" s="260"/>
      <c r="AF18" s="260"/>
      <c r="AG18" s="260"/>
      <c r="AH18" s="260"/>
      <c r="AI18" s="260"/>
      <c r="AJ18" s="260"/>
      <c r="AK18" s="260"/>
      <c r="AL18" s="260"/>
      <c r="AM18" s="260"/>
      <c r="AN18" s="260"/>
      <c r="AO18" s="260"/>
      <c r="AP18" s="260"/>
      <c r="AQ18" s="260">
        <f t="shared" si="0"/>
        <v>0</v>
      </c>
      <c r="AR18" s="261">
        <f t="shared" si="0"/>
        <v>0</v>
      </c>
      <c r="AS18" s="256">
        <f t="shared" si="1"/>
        <v>0</v>
      </c>
      <c r="AT18" s="256">
        <f t="shared" si="1"/>
        <v>0</v>
      </c>
      <c r="AU18" s="256">
        <f t="shared" si="2"/>
        <v>0</v>
      </c>
      <c r="AV18" s="6"/>
      <c r="AW18" s="256">
        <f>+'[4]Metas'!S18:S33-S18</f>
        <v>0</v>
      </c>
      <c r="AX18" s="256">
        <f>+'[4]Metas'!T18:T33-T18</f>
        <v>0</v>
      </c>
      <c r="AY18" s="256">
        <f>+'[4]Metas'!U18:U33-U18</f>
        <v>0</v>
      </c>
      <c r="AZ18" s="256">
        <f>+'[4]Metas'!V18:V33-V18</f>
        <v>0</v>
      </c>
      <c r="BA18" s="6"/>
      <c r="BB18" s="6"/>
      <c r="BC18" s="6"/>
      <c r="BD18" s="6"/>
      <c r="BE18" s="262"/>
      <c r="BF18" s="262"/>
      <c r="BG18" s="262"/>
      <c r="BH18" s="262"/>
      <c r="BI18" s="262"/>
      <c r="BJ18" s="262"/>
      <c r="BN18" s="6"/>
      <c r="BO18" s="6"/>
      <c r="BP18" s="6"/>
      <c r="BQ18" s="6"/>
      <c r="BR18" s="6"/>
      <c r="BS18" s="6"/>
      <c r="BT18" s="6"/>
      <c r="BU18" s="6"/>
      <c r="BV18" s="6"/>
      <c r="BW18" s="6"/>
      <c r="BX18" s="6"/>
      <c r="BY18" s="6"/>
      <c r="BZ18" s="6"/>
      <c r="CA18" s="6"/>
      <c r="CB18" s="6"/>
      <c r="CC18" s="6"/>
      <c r="CD18" s="6"/>
      <c r="CE18" s="6"/>
    </row>
    <row r="19" spans="1:83" s="258" customFormat="1" ht="15.75">
      <c r="A19" s="251"/>
      <c r="B19" s="251"/>
      <c r="C19" s="251"/>
      <c r="D19" s="251"/>
      <c r="E19" s="251"/>
      <c r="F19" s="251"/>
      <c r="G19" s="252"/>
      <c r="H19" s="394"/>
      <c r="I19" s="545"/>
      <c r="J19" s="400"/>
      <c r="K19" s="400"/>
      <c r="L19" s="400"/>
      <c r="M19" s="400"/>
      <c r="N19" s="545"/>
      <c r="O19" s="548"/>
      <c r="P19" s="551"/>
      <c r="Q19" s="533"/>
      <c r="R19" s="533"/>
      <c r="S19" s="533"/>
      <c r="T19" s="533"/>
      <c r="U19" s="533"/>
      <c r="V19" s="533"/>
      <c r="W19" s="554"/>
      <c r="X19" s="557"/>
      <c r="Y19" s="554"/>
      <c r="Z19" s="560"/>
      <c r="AA19" s="554"/>
      <c r="AB19" s="259" t="s">
        <v>215</v>
      </c>
      <c r="AC19" s="260"/>
      <c r="AD19" s="260"/>
      <c r="AE19" s="260"/>
      <c r="AF19" s="260"/>
      <c r="AG19" s="260"/>
      <c r="AH19" s="260"/>
      <c r="AI19" s="260"/>
      <c r="AJ19" s="260"/>
      <c r="AK19" s="260"/>
      <c r="AL19" s="260"/>
      <c r="AM19" s="260"/>
      <c r="AN19" s="260"/>
      <c r="AO19" s="260"/>
      <c r="AP19" s="260"/>
      <c r="AQ19" s="260">
        <f t="shared" si="0"/>
        <v>0</v>
      </c>
      <c r="AR19" s="261">
        <f t="shared" si="0"/>
        <v>0</v>
      </c>
      <c r="AS19" s="256">
        <f t="shared" si="1"/>
        <v>0</v>
      </c>
      <c r="AT19" s="256">
        <f t="shared" si="1"/>
        <v>0</v>
      </c>
      <c r="AU19" s="256">
        <f t="shared" si="2"/>
        <v>0</v>
      </c>
      <c r="AV19" s="6"/>
      <c r="AW19" s="256">
        <f>+'[4]Metas'!S19:S34-S19</f>
        <v>0</v>
      </c>
      <c r="AX19" s="256">
        <f>+'[4]Metas'!T19:T34-T19</f>
        <v>0</v>
      </c>
      <c r="AY19" s="256">
        <f>+'[4]Metas'!U19:U34-U19</f>
        <v>0</v>
      </c>
      <c r="AZ19" s="256">
        <f>+'[4]Metas'!V19:V34-V19</f>
        <v>0</v>
      </c>
      <c r="BA19" s="6"/>
      <c r="BB19" s="6"/>
      <c r="BC19" s="6"/>
      <c r="BD19" s="6"/>
      <c r="BE19" s="262"/>
      <c r="BF19" s="262"/>
      <c r="BG19" s="262"/>
      <c r="BH19" s="262"/>
      <c r="BI19" s="262"/>
      <c r="BJ19" s="262"/>
      <c r="BN19" s="6"/>
      <c r="BO19" s="6"/>
      <c r="BP19" s="6"/>
      <c r="BQ19" s="6"/>
      <c r="BR19" s="6"/>
      <c r="BS19" s="6"/>
      <c r="BT19" s="6"/>
      <c r="BU19" s="6"/>
      <c r="BV19" s="6"/>
      <c r="BW19" s="6"/>
      <c r="BX19" s="6"/>
      <c r="BY19" s="6"/>
      <c r="BZ19" s="6"/>
      <c r="CA19" s="6"/>
      <c r="CB19" s="6"/>
      <c r="CC19" s="6"/>
      <c r="CD19" s="6"/>
      <c r="CE19" s="6"/>
    </row>
    <row r="20" spans="1:83" s="258" customFormat="1" ht="15.75">
      <c r="A20" s="251"/>
      <c r="B20" s="251"/>
      <c r="C20" s="251"/>
      <c r="D20" s="251"/>
      <c r="E20" s="251"/>
      <c r="F20" s="251"/>
      <c r="G20" s="252"/>
      <c r="H20" s="394"/>
      <c r="I20" s="545"/>
      <c r="J20" s="400"/>
      <c r="K20" s="400"/>
      <c r="L20" s="400"/>
      <c r="M20" s="400"/>
      <c r="N20" s="545"/>
      <c r="O20" s="548"/>
      <c r="P20" s="551"/>
      <c r="Q20" s="533"/>
      <c r="R20" s="533"/>
      <c r="S20" s="533"/>
      <c r="T20" s="533"/>
      <c r="U20" s="533"/>
      <c r="V20" s="533"/>
      <c r="W20" s="554"/>
      <c r="X20" s="557"/>
      <c r="Y20" s="554"/>
      <c r="Z20" s="560"/>
      <c r="AA20" s="554"/>
      <c r="AB20" s="259" t="s">
        <v>216</v>
      </c>
      <c r="AC20" s="260"/>
      <c r="AD20" s="260"/>
      <c r="AE20" s="260"/>
      <c r="AF20" s="260"/>
      <c r="AG20" s="260"/>
      <c r="AH20" s="260"/>
      <c r="AI20" s="260"/>
      <c r="AJ20" s="260"/>
      <c r="AK20" s="260"/>
      <c r="AL20" s="260"/>
      <c r="AM20" s="260"/>
      <c r="AN20" s="260"/>
      <c r="AO20" s="260"/>
      <c r="AP20" s="260"/>
      <c r="AQ20" s="260">
        <f t="shared" si="0"/>
        <v>0</v>
      </c>
      <c r="AR20" s="261">
        <f t="shared" si="0"/>
        <v>0</v>
      </c>
      <c r="AS20" s="256">
        <f t="shared" si="1"/>
        <v>0</v>
      </c>
      <c r="AT20" s="256">
        <f t="shared" si="1"/>
        <v>0</v>
      </c>
      <c r="AU20" s="256">
        <f t="shared" si="2"/>
        <v>0</v>
      </c>
      <c r="AV20" s="6"/>
      <c r="AW20" s="256">
        <f>+'[4]Metas'!S20:S35-S20</f>
        <v>0</v>
      </c>
      <c r="AX20" s="256">
        <f>+'[4]Metas'!T20:T35-T20</f>
        <v>0</v>
      </c>
      <c r="AY20" s="256">
        <f>+'[4]Metas'!U20:U35-U20</f>
        <v>0</v>
      </c>
      <c r="AZ20" s="256">
        <f>+'[4]Metas'!V20:V35-V20</f>
        <v>0</v>
      </c>
      <c r="BA20" s="6"/>
      <c r="BB20" s="6"/>
      <c r="BC20" s="6"/>
      <c r="BD20" s="6"/>
      <c r="BE20" s="262"/>
      <c r="BF20" s="262"/>
      <c r="BG20" s="262"/>
      <c r="BH20" s="262"/>
      <c r="BI20" s="262"/>
      <c r="BJ20" s="262"/>
      <c r="BN20" s="6"/>
      <c r="BO20" s="6"/>
      <c r="BP20" s="6"/>
      <c r="BQ20" s="6"/>
      <c r="BR20" s="6"/>
      <c r="BS20" s="6"/>
      <c r="BT20" s="6"/>
      <c r="BU20" s="6"/>
      <c r="BV20" s="6"/>
      <c r="BW20" s="6"/>
      <c r="BX20" s="6"/>
      <c r="BY20" s="6"/>
      <c r="BZ20" s="6"/>
      <c r="CA20" s="6"/>
      <c r="CB20" s="6"/>
      <c r="CC20" s="6"/>
      <c r="CD20" s="6"/>
      <c r="CE20" s="6"/>
    </row>
    <row r="21" spans="1:83" s="258" customFormat="1" ht="15.75">
      <c r="A21" s="251"/>
      <c r="B21" s="251"/>
      <c r="C21" s="251"/>
      <c r="D21" s="251"/>
      <c r="E21" s="251"/>
      <c r="F21" s="251"/>
      <c r="G21" s="252"/>
      <c r="H21" s="394"/>
      <c r="I21" s="545"/>
      <c r="J21" s="400"/>
      <c r="K21" s="400"/>
      <c r="L21" s="400"/>
      <c r="M21" s="400"/>
      <c r="N21" s="545"/>
      <c r="O21" s="548"/>
      <c r="P21" s="551"/>
      <c r="Q21" s="533"/>
      <c r="R21" s="533"/>
      <c r="S21" s="533"/>
      <c r="T21" s="533"/>
      <c r="U21" s="533"/>
      <c r="V21" s="533"/>
      <c r="W21" s="554"/>
      <c r="X21" s="557"/>
      <c r="Y21" s="554"/>
      <c r="Z21" s="560"/>
      <c r="AA21" s="554"/>
      <c r="AB21" s="263" t="s">
        <v>217</v>
      </c>
      <c r="AC21" s="260"/>
      <c r="AD21" s="260"/>
      <c r="AE21" s="260"/>
      <c r="AF21" s="260"/>
      <c r="AG21" s="260"/>
      <c r="AH21" s="260"/>
      <c r="AI21" s="260"/>
      <c r="AJ21" s="260"/>
      <c r="AK21" s="260"/>
      <c r="AL21" s="260"/>
      <c r="AM21" s="260"/>
      <c r="AN21" s="260"/>
      <c r="AO21" s="260"/>
      <c r="AP21" s="260"/>
      <c r="AQ21" s="260">
        <f t="shared" si="0"/>
        <v>0</v>
      </c>
      <c r="AR21" s="261">
        <f t="shared" si="0"/>
        <v>0</v>
      </c>
      <c r="AS21" s="256">
        <f t="shared" si="1"/>
        <v>0</v>
      </c>
      <c r="AT21" s="256">
        <f t="shared" si="1"/>
        <v>0</v>
      </c>
      <c r="AU21" s="256">
        <f t="shared" si="2"/>
        <v>0</v>
      </c>
      <c r="AV21" s="6"/>
      <c r="AW21" s="256">
        <f>+'[4]Metas'!S21:S36-S21</f>
        <v>0</v>
      </c>
      <c r="AX21" s="256">
        <f>+'[4]Metas'!T21:T36-T21</f>
        <v>0</v>
      </c>
      <c r="AY21" s="256">
        <f>+'[4]Metas'!U21:U36-U21</f>
        <v>0</v>
      </c>
      <c r="AZ21" s="256">
        <f>+'[4]Metas'!V21:V36-V21</f>
        <v>0</v>
      </c>
      <c r="BA21" s="6"/>
      <c r="BB21" s="6"/>
      <c r="BC21" s="6"/>
      <c r="BD21" s="6"/>
      <c r="BE21" s="262"/>
      <c r="BF21" s="262"/>
      <c r="BG21" s="262"/>
      <c r="BH21" s="262"/>
      <c r="BI21" s="262"/>
      <c r="BJ21" s="262"/>
      <c r="BN21" s="6"/>
      <c r="BO21" s="6"/>
      <c r="BP21" s="6"/>
      <c r="BQ21" s="6"/>
      <c r="BR21" s="6"/>
      <c r="BS21" s="6"/>
      <c r="BT21" s="6"/>
      <c r="BU21" s="6"/>
      <c r="BV21" s="6"/>
      <c r="BW21" s="6"/>
      <c r="BX21" s="6"/>
      <c r="BY21" s="6"/>
      <c r="BZ21" s="6"/>
      <c r="CA21" s="6"/>
      <c r="CB21" s="6"/>
      <c r="CC21" s="6"/>
      <c r="CD21" s="6"/>
      <c r="CE21" s="6"/>
    </row>
    <row r="22" spans="1:83" s="258" customFormat="1" ht="15.75">
      <c r="A22" s="251"/>
      <c r="B22" s="251"/>
      <c r="C22" s="251"/>
      <c r="D22" s="251"/>
      <c r="E22" s="251"/>
      <c r="F22" s="251"/>
      <c r="G22" s="252"/>
      <c r="H22" s="394"/>
      <c r="I22" s="545"/>
      <c r="J22" s="400"/>
      <c r="K22" s="400"/>
      <c r="L22" s="400"/>
      <c r="M22" s="400"/>
      <c r="N22" s="545"/>
      <c r="O22" s="548"/>
      <c r="P22" s="551"/>
      <c r="Q22" s="533"/>
      <c r="R22" s="533"/>
      <c r="S22" s="533"/>
      <c r="T22" s="533"/>
      <c r="U22" s="533"/>
      <c r="V22" s="533"/>
      <c r="W22" s="554"/>
      <c r="X22" s="557"/>
      <c r="Y22" s="554"/>
      <c r="Z22" s="560"/>
      <c r="AA22" s="554"/>
      <c r="AB22" s="264" t="s">
        <v>218</v>
      </c>
      <c r="AC22" s="265">
        <f aca="true" t="shared" si="3" ref="AC22:AR22">SUM(AC16:AC21)</f>
        <v>0</v>
      </c>
      <c r="AD22" s="265">
        <f t="shared" si="3"/>
        <v>0</v>
      </c>
      <c r="AE22" s="265">
        <f t="shared" si="3"/>
        <v>0</v>
      </c>
      <c r="AF22" s="265">
        <f t="shared" si="3"/>
        <v>0</v>
      </c>
      <c r="AG22" s="265">
        <f t="shared" si="3"/>
        <v>0</v>
      </c>
      <c r="AH22" s="265">
        <f t="shared" si="3"/>
        <v>0</v>
      </c>
      <c r="AI22" s="265">
        <f t="shared" si="3"/>
        <v>0</v>
      </c>
      <c r="AJ22" s="265">
        <f t="shared" si="3"/>
        <v>0</v>
      </c>
      <c r="AK22" s="265">
        <f t="shared" si="3"/>
        <v>0</v>
      </c>
      <c r="AL22" s="265">
        <f t="shared" si="3"/>
        <v>0</v>
      </c>
      <c r="AM22" s="265">
        <f t="shared" si="3"/>
        <v>0</v>
      </c>
      <c r="AN22" s="265">
        <f t="shared" si="3"/>
        <v>0</v>
      </c>
      <c r="AO22" s="265">
        <f t="shared" si="3"/>
        <v>0</v>
      </c>
      <c r="AP22" s="265">
        <f t="shared" si="3"/>
        <v>0</v>
      </c>
      <c r="AQ22" s="265">
        <f t="shared" si="3"/>
        <v>0</v>
      </c>
      <c r="AR22" s="266">
        <f t="shared" si="3"/>
        <v>0</v>
      </c>
      <c r="AS22" s="256">
        <f t="shared" si="1"/>
        <v>0</v>
      </c>
      <c r="AT22" s="256">
        <f t="shared" si="1"/>
        <v>0</v>
      </c>
      <c r="AU22" s="256">
        <f t="shared" si="2"/>
        <v>0</v>
      </c>
      <c r="AV22" s="6"/>
      <c r="AW22" s="256">
        <f>+'[4]Metas'!S22:S37-S22</f>
        <v>0</v>
      </c>
      <c r="AX22" s="256">
        <f>+'[4]Metas'!T22:T37-T22</f>
        <v>0</v>
      </c>
      <c r="AY22" s="256">
        <f>+'[4]Metas'!U22:U37-U22</f>
        <v>0</v>
      </c>
      <c r="AZ22" s="256">
        <f>+'[4]Metas'!V22:V37-V22</f>
        <v>0</v>
      </c>
      <c r="BA22" s="6"/>
      <c r="BB22" s="6"/>
      <c r="BC22" s="6"/>
      <c r="BD22" s="6"/>
      <c r="BE22" s="262"/>
      <c r="BF22" s="262"/>
      <c r="BG22" s="262"/>
      <c r="BH22" s="262"/>
      <c r="BI22" s="262"/>
      <c r="BJ22" s="262"/>
      <c r="BN22" s="6"/>
      <c r="BO22" s="6"/>
      <c r="BP22" s="6"/>
      <c r="BQ22" s="6"/>
      <c r="BR22" s="6"/>
      <c r="BS22" s="6"/>
      <c r="BT22" s="6"/>
      <c r="BU22" s="6"/>
      <c r="BV22" s="6"/>
      <c r="BW22" s="6"/>
      <c r="BX22" s="6"/>
      <c r="BY22" s="6"/>
      <c r="BZ22" s="6"/>
      <c r="CA22" s="6"/>
      <c r="CB22" s="6"/>
      <c r="CC22" s="6"/>
      <c r="CD22" s="6"/>
      <c r="CE22" s="6"/>
    </row>
    <row r="23" spans="1:83" s="258" customFormat="1" ht="15.75">
      <c r="A23" s="251"/>
      <c r="B23" s="251"/>
      <c r="C23" s="251"/>
      <c r="D23" s="251"/>
      <c r="E23" s="251"/>
      <c r="F23" s="251"/>
      <c r="G23" s="252"/>
      <c r="H23" s="394"/>
      <c r="I23" s="545"/>
      <c r="J23" s="400"/>
      <c r="K23" s="400"/>
      <c r="L23" s="400"/>
      <c r="M23" s="400"/>
      <c r="N23" s="545"/>
      <c r="O23" s="548"/>
      <c r="P23" s="551"/>
      <c r="Q23" s="533"/>
      <c r="R23" s="533"/>
      <c r="S23" s="533"/>
      <c r="T23" s="533"/>
      <c r="U23" s="533"/>
      <c r="V23" s="533"/>
      <c r="W23" s="554"/>
      <c r="X23" s="557"/>
      <c r="Y23" s="554"/>
      <c r="Z23" s="560"/>
      <c r="AA23" s="554"/>
      <c r="AB23" s="259" t="s">
        <v>219</v>
      </c>
      <c r="AC23" s="260"/>
      <c r="AD23" s="260"/>
      <c r="AE23" s="260"/>
      <c r="AF23" s="260"/>
      <c r="AG23" s="260"/>
      <c r="AH23" s="260"/>
      <c r="AI23" s="260"/>
      <c r="AJ23" s="260"/>
      <c r="AK23" s="260"/>
      <c r="AL23" s="260"/>
      <c r="AM23" s="260"/>
      <c r="AN23" s="260"/>
      <c r="AO23" s="260"/>
      <c r="AP23" s="260"/>
      <c r="AQ23" s="260">
        <f>+AC23+AE23+AG23+AI23+AK23+AM23+AO23</f>
        <v>0</v>
      </c>
      <c r="AR23" s="261">
        <f aca="true" t="shared" si="4" ref="AR23:AR29">+AD23+AF23+AH23+AJ23+AL23+AN23+AP23</f>
        <v>0</v>
      </c>
      <c r="AS23" s="256">
        <f t="shared" si="1"/>
        <v>0</v>
      </c>
      <c r="AT23" s="256">
        <f t="shared" si="1"/>
        <v>0</v>
      </c>
      <c r="AU23" s="256">
        <f t="shared" si="2"/>
        <v>0</v>
      </c>
      <c r="AV23" s="6"/>
      <c r="AW23" s="256">
        <f>+'[4]Metas'!S23:S38-S23</f>
        <v>0</v>
      </c>
      <c r="AX23" s="256">
        <f>+'[4]Metas'!T23:T38-T23</f>
        <v>0</v>
      </c>
      <c r="AY23" s="256">
        <f>+'[4]Metas'!U23:U38-U23</f>
        <v>0</v>
      </c>
      <c r="AZ23" s="256">
        <f>+'[4]Metas'!V23:V38-V23</f>
        <v>0</v>
      </c>
      <c r="BA23" s="6"/>
      <c r="BB23" s="6"/>
      <c r="BC23" s="6"/>
      <c r="BD23" s="6"/>
      <c r="BE23" s="262"/>
      <c r="BF23" s="262"/>
      <c r="BG23" s="262"/>
      <c r="BH23" s="262"/>
      <c r="BI23" s="262"/>
      <c r="BJ23" s="262"/>
      <c r="BN23" s="6"/>
      <c r="BO23" s="6"/>
      <c r="BP23" s="6"/>
      <c r="BQ23" s="6"/>
      <c r="BR23" s="6"/>
      <c r="BS23" s="6"/>
      <c r="BT23" s="6"/>
      <c r="BU23" s="6"/>
      <c r="BV23" s="6"/>
      <c r="BW23" s="6"/>
      <c r="BX23" s="6"/>
      <c r="BY23" s="6"/>
      <c r="BZ23" s="6"/>
      <c r="CA23" s="6"/>
      <c r="CB23" s="6"/>
      <c r="CC23" s="6"/>
      <c r="CD23" s="6"/>
      <c r="CE23" s="6"/>
    </row>
    <row r="24" spans="1:83" s="258" customFormat="1" ht="15.75">
      <c r="A24" s="251"/>
      <c r="B24" s="251"/>
      <c r="C24" s="251"/>
      <c r="D24" s="251"/>
      <c r="E24" s="251"/>
      <c r="F24" s="251"/>
      <c r="G24" s="252"/>
      <c r="H24" s="394"/>
      <c r="I24" s="545"/>
      <c r="J24" s="400"/>
      <c r="K24" s="400"/>
      <c r="L24" s="400"/>
      <c r="M24" s="400"/>
      <c r="N24" s="545"/>
      <c r="O24" s="548"/>
      <c r="P24" s="551"/>
      <c r="Q24" s="533"/>
      <c r="R24" s="533"/>
      <c r="S24" s="533"/>
      <c r="T24" s="533"/>
      <c r="U24" s="533"/>
      <c r="V24" s="533"/>
      <c r="W24" s="554"/>
      <c r="X24" s="557"/>
      <c r="Y24" s="554"/>
      <c r="Z24" s="560"/>
      <c r="AA24" s="554"/>
      <c r="AB24" s="259" t="s">
        <v>220</v>
      </c>
      <c r="AC24" s="260"/>
      <c r="AD24" s="260"/>
      <c r="AE24" s="260"/>
      <c r="AF24" s="260"/>
      <c r="AG24" s="260"/>
      <c r="AH24" s="260"/>
      <c r="AI24" s="260"/>
      <c r="AJ24" s="260"/>
      <c r="AK24" s="260"/>
      <c r="AL24" s="260"/>
      <c r="AM24" s="260"/>
      <c r="AN24" s="260"/>
      <c r="AO24" s="260"/>
      <c r="AP24" s="260"/>
      <c r="AQ24" s="260">
        <f aca="true" t="shared" si="5" ref="AQ24:AQ29">+AC24+AE24+AG24+AI24+AK24+AM24+AO24</f>
        <v>0</v>
      </c>
      <c r="AR24" s="261">
        <f t="shared" si="4"/>
        <v>0</v>
      </c>
      <c r="AS24" s="256">
        <f t="shared" si="1"/>
        <v>0</v>
      </c>
      <c r="AT24" s="256">
        <f t="shared" si="1"/>
        <v>0</v>
      </c>
      <c r="AU24" s="256">
        <f t="shared" si="2"/>
        <v>0</v>
      </c>
      <c r="AV24" s="6"/>
      <c r="AW24" s="256">
        <f>+'[4]Metas'!S24:S39-S24</f>
        <v>0</v>
      </c>
      <c r="AX24" s="256">
        <f>+'[4]Metas'!T24:T39-T24</f>
        <v>0</v>
      </c>
      <c r="AY24" s="256">
        <f>+'[4]Metas'!U24:U39-U24</f>
        <v>0</v>
      </c>
      <c r="AZ24" s="256">
        <f>+'[4]Metas'!V24:V39-V24</f>
        <v>0</v>
      </c>
      <c r="BA24" s="6"/>
      <c r="BB24" s="6"/>
      <c r="BC24" s="6"/>
      <c r="BD24" s="6"/>
      <c r="BE24" s="262"/>
      <c r="BF24" s="262"/>
      <c r="BG24" s="262"/>
      <c r="BH24" s="262"/>
      <c r="BI24" s="262"/>
      <c r="BJ24" s="262"/>
      <c r="BN24" s="6"/>
      <c r="BO24" s="6"/>
      <c r="BP24" s="6"/>
      <c r="BQ24" s="6"/>
      <c r="BR24" s="6"/>
      <c r="BS24" s="6"/>
      <c r="BT24" s="6"/>
      <c r="BU24" s="6"/>
      <c r="BV24" s="6"/>
      <c r="BW24" s="6"/>
      <c r="BX24" s="6"/>
      <c r="BY24" s="6"/>
      <c r="BZ24" s="6"/>
      <c r="CA24" s="6"/>
      <c r="CB24" s="6"/>
      <c r="CC24" s="6"/>
      <c r="CD24" s="6"/>
      <c r="CE24" s="6"/>
    </row>
    <row r="25" spans="1:83" s="258" customFormat="1" ht="15.75">
      <c r="A25" s="251"/>
      <c r="B25" s="251"/>
      <c r="C25" s="251"/>
      <c r="D25" s="251"/>
      <c r="E25" s="251"/>
      <c r="F25" s="251"/>
      <c r="G25" s="252"/>
      <c r="H25" s="394"/>
      <c r="I25" s="545"/>
      <c r="J25" s="400"/>
      <c r="K25" s="400"/>
      <c r="L25" s="400"/>
      <c r="M25" s="400"/>
      <c r="N25" s="545"/>
      <c r="O25" s="548"/>
      <c r="P25" s="551"/>
      <c r="Q25" s="533"/>
      <c r="R25" s="533"/>
      <c r="S25" s="533"/>
      <c r="T25" s="533"/>
      <c r="U25" s="533"/>
      <c r="V25" s="533"/>
      <c r="W25" s="554"/>
      <c r="X25" s="557"/>
      <c r="Y25" s="554"/>
      <c r="Z25" s="560"/>
      <c r="AA25" s="554"/>
      <c r="AB25" s="263" t="s">
        <v>221</v>
      </c>
      <c r="AC25" s="260"/>
      <c r="AD25" s="260"/>
      <c r="AE25" s="260"/>
      <c r="AF25" s="260"/>
      <c r="AG25" s="260"/>
      <c r="AH25" s="260"/>
      <c r="AI25" s="260"/>
      <c r="AJ25" s="260"/>
      <c r="AK25" s="260"/>
      <c r="AL25" s="260"/>
      <c r="AM25" s="260"/>
      <c r="AN25" s="260"/>
      <c r="AO25" s="260"/>
      <c r="AP25" s="260"/>
      <c r="AQ25" s="260">
        <f t="shared" si="5"/>
        <v>0</v>
      </c>
      <c r="AR25" s="261">
        <f t="shared" si="4"/>
        <v>0</v>
      </c>
      <c r="AS25" s="256">
        <f t="shared" si="1"/>
        <v>0</v>
      </c>
      <c r="AT25" s="256">
        <f t="shared" si="1"/>
        <v>0</v>
      </c>
      <c r="AU25" s="256">
        <f t="shared" si="2"/>
        <v>0</v>
      </c>
      <c r="AV25" s="6"/>
      <c r="AW25" s="256">
        <f>+'[4]Metas'!S25:S40-S25</f>
        <v>0</v>
      </c>
      <c r="AX25" s="256">
        <f>+'[4]Metas'!T25:T40-T25</f>
        <v>0</v>
      </c>
      <c r="AY25" s="256">
        <f>+'[4]Metas'!U25:U40-U25</f>
        <v>0</v>
      </c>
      <c r="AZ25" s="256">
        <f>+'[4]Metas'!V25:V40-V25</f>
        <v>0</v>
      </c>
      <c r="BA25" s="6"/>
      <c r="BB25" s="6"/>
      <c r="BC25" s="6"/>
      <c r="BD25" s="6"/>
      <c r="BE25" s="262"/>
      <c r="BF25" s="262"/>
      <c r="BG25" s="262"/>
      <c r="BH25" s="262"/>
      <c r="BI25" s="262"/>
      <c r="BJ25" s="262"/>
      <c r="BN25" s="6"/>
      <c r="BO25" s="6"/>
      <c r="BP25" s="6"/>
      <c r="BQ25" s="6"/>
      <c r="BR25" s="6"/>
      <c r="BS25" s="6"/>
      <c r="BT25" s="6"/>
      <c r="BU25" s="6"/>
      <c r="BV25" s="6"/>
      <c r="BW25" s="6"/>
      <c r="BX25" s="6"/>
      <c r="BY25" s="6"/>
      <c r="BZ25" s="6"/>
      <c r="CA25" s="6"/>
      <c r="CB25" s="6"/>
      <c r="CC25" s="6"/>
      <c r="CD25" s="6"/>
      <c r="CE25" s="6"/>
    </row>
    <row r="26" spans="1:83" s="258" customFormat="1" ht="15.75">
      <c r="A26" s="251"/>
      <c r="B26" s="251"/>
      <c r="C26" s="251"/>
      <c r="D26" s="251"/>
      <c r="E26" s="251"/>
      <c r="F26" s="251"/>
      <c r="G26" s="252"/>
      <c r="H26" s="394"/>
      <c r="I26" s="545"/>
      <c r="J26" s="400"/>
      <c r="K26" s="400"/>
      <c r="L26" s="400"/>
      <c r="M26" s="400"/>
      <c r="N26" s="545"/>
      <c r="O26" s="548"/>
      <c r="P26" s="551"/>
      <c r="Q26" s="533"/>
      <c r="R26" s="533"/>
      <c r="S26" s="533"/>
      <c r="T26" s="533"/>
      <c r="U26" s="533"/>
      <c r="V26" s="533"/>
      <c r="W26" s="554"/>
      <c r="X26" s="557"/>
      <c r="Y26" s="554"/>
      <c r="Z26" s="560"/>
      <c r="AA26" s="554"/>
      <c r="AB26" s="263" t="s">
        <v>222</v>
      </c>
      <c r="AC26" s="260"/>
      <c r="AD26" s="260"/>
      <c r="AE26" s="260"/>
      <c r="AF26" s="260"/>
      <c r="AG26" s="260"/>
      <c r="AH26" s="260"/>
      <c r="AI26" s="260"/>
      <c r="AJ26" s="260"/>
      <c r="AK26" s="260"/>
      <c r="AL26" s="260"/>
      <c r="AM26" s="260"/>
      <c r="AN26" s="260"/>
      <c r="AO26" s="260"/>
      <c r="AP26" s="260"/>
      <c r="AQ26" s="260">
        <f t="shared" si="5"/>
        <v>0</v>
      </c>
      <c r="AR26" s="261">
        <f t="shared" si="4"/>
        <v>0</v>
      </c>
      <c r="AS26" s="256">
        <f t="shared" si="1"/>
        <v>0</v>
      </c>
      <c r="AT26" s="256">
        <f t="shared" si="1"/>
        <v>0</v>
      </c>
      <c r="AU26" s="256">
        <f t="shared" si="2"/>
        <v>0</v>
      </c>
      <c r="AV26" s="6"/>
      <c r="AW26" s="256">
        <f>+'[4]Metas'!S26:S41-S26</f>
        <v>0</v>
      </c>
      <c r="AX26" s="256">
        <f>+'[4]Metas'!T26:T41-T26</f>
        <v>0</v>
      </c>
      <c r="AY26" s="256">
        <f>+'[4]Metas'!U26:U41-U26</f>
        <v>0</v>
      </c>
      <c r="AZ26" s="256">
        <f>+'[4]Metas'!V26:V41-V26</f>
        <v>0</v>
      </c>
      <c r="BA26" s="6"/>
      <c r="BB26" s="6"/>
      <c r="BC26" s="6"/>
      <c r="BD26" s="6"/>
      <c r="BE26" s="262"/>
      <c r="BF26" s="262"/>
      <c r="BG26" s="262"/>
      <c r="BH26" s="262"/>
      <c r="BI26" s="262"/>
      <c r="BJ26" s="262"/>
      <c r="BN26" s="6"/>
      <c r="BO26" s="6"/>
      <c r="BP26" s="6"/>
      <c r="BQ26" s="6"/>
      <c r="BR26" s="6"/>
      <c r="BS26" s="6"/>
      <c r="BT26" s="6"/>
      <c r="BU26" s="6"/>
      <c r="BV26" s="6"/>
      <c r="BW26" s="6"/>
      <c r="BX26" s="6"/>
      <c r="BY26" s="6"/>
      <c r="BZ26" s="6"/>
      <c r="CA26" s="6"/>
      <c r="CB26" s="6"/>
      <c r="CC26" s="6"/>
      <c r="CD26" s="6"/>
      <c r="CE26" s="6"/>
    </row>
    <row r="27" spans="1:83" s="258" customFormat="1" ht="15.75">
      <c r="A27" s="251"/>
      <c r="B27" s="251"/>
      <c r="C27" s="251"/>
      <c r="D27" s="251"/>
      <c r="E27" s="251"/>
      <c r="F27" s="251"/>
      <c r="G27" s="252"/>
      <c r="H27" s="394"/>
      <c r="I27" s="545"/>
      <c r="J27" s="400"/>
      <c r="K27" s="400"/>
      <c r="L27" s="400"/>
      <c r="M27" s="400"/>
      <c r="N27" s="545"/>
      <c r="O27" s="548"/>
      <c r="P27" s="551"/>
      <c r="Q27" s="533"/>
      <c r="R27" s="533"/>
      <c r="S27" s="533"/>
      <c r="T27" s="533"/>
      <c r="U27" s="533"/>
      <c r="V27" s="533"/>
      <c r="W27" s="554"/>
      <c r="X27" s="557"/>
      <c r="Y27" s="554"/>
      <c r="Z27" s="560"/>
      <c r="AA27" s="554"/>
      <c r="AB27" s="263" t="s">
        <v>223</v>
      </c>
      <c r="AC27" s="260"/>
      <c r="AD27" s="260"/>
      <c r="AE27" s="260"/>
      <c r="AF27" s="260"/>
      <c r="AG27" s="260"/>
      <c r="AH27" s="260"/>
      <c r="AI27" s="260"/>
      <c r="AJ27" s="260"/>
      <c r="AK27" s="260"/>
      <c r="AL27" s="260"/>
      <c r="AM27" s="260"/>
      <c r="AN27" s="260"/>
      <c r="AO27" s="260"/>
      <c r="AP27" s="260"/>
      <c r="AQ27" s="260">
        <f t="shared" si="5"/>
        <v>0</v>
      </c>
      <c r="AR27" s="261">
        <f t="shared" si="4"/>
        <v>0</v>
      </c>
      <c r="AS27" s="256">
        <f t="shared" si="1"/>
        <v>0</v>
      </c>
      <c r="AT27" s="256">
        <f t="shared" si="1"/>
        <v>0</v>
      </c>
      <c r="AU27" s="256">
        <f t="shared" si="2"/>
        <v>0</v>
      </c>
      <c r="AV27" s="6"/>
      <c r="AW27" s="256">
        <f>+'[4]Metas'!S27:S42-S27</f>
        <v>0</v>
      </c>
      <c r="AX27" s="256">
        <f>+'[4]Metas'!T27:T42-T27</f>
        <v>0</v>
      </c>
      <c r="AY27" s="256">
        <f>+'[4]Metas'!U27:U42-U27</f>
        <v>0</v>
      </c>
      <c r="AZ27" s="256">
        <f>+'[4]Metas'!V27:V42-V27</f>
        <v>0</v>
      </c>
      <c r="BA27" s="6"/>
      <c r="BB27" s="6"/>
      <c r="BC27" s="6"/>
      <c r="BD27" s="6"/>
      <c r="BE27" s="262"/>
      <c r="BF27" s="262"/>
      <c r="BG27" s="262"/>
      <c r="BH27" s="262"/>
      <c r="BI27" s="262"/>
      <c r="BJ27" s="262"/>
      <c r="BN27" s="6"/>
      <c r="BO27" s="6"/>
      <c r="BP27" s="6"/>
      <c r="BQ27" s="6"/>
      <c r="BR27" s="6"/>
      <c r="BS27" s="6"/>
      <c r="BT27" s="6"/>
      <c r="BU27" s="6"/>
      <c r="BV27" s="6"/>
      <c r="BW27" s="6"/>
      <c r="BX27" s="6"/>
      <c r="BY27" s="6"/>
      <c r="BZ27" s="6"/>
      <c r="CA27" s="6"/>
      <c r="CB27" s="6"/>
      <c r="CC27" s="6"/>
      <c r="CD27" s="6"/>
      <c r="CE27" s="6"/>
    </row>
    <row r="28" spans="1:83" s="258" customFormat="1" ht="15.75">
      <c r="A28" s="251"/>
      <c r="B28" s="251"/>
      <c r="C28" s="251"/>
      <c r="D28" s="251"/>
      <c r="E28" s="251"/>
      <c r="F28" s="251"/>
      <c r="G28" s="252"/>
      <c r="H28" s="394"/>
      <c r="I28" s="545"/>
      <c r="J28" s="400"/>
      <c r="K28" s="400"/>
      <c r="L28" s="400"/>
      <c r="M28" s="400"/>
      <c r="N28" s="545"/>
      <c r="O28" s="548"/>
      <c r="P28" s="551"/>
      <c r="Q28" s="533"/>
      <c r="R28" s="533"/>
      <c r="S28" s="533"/>
      <c r="T28" s="533"/>
      <c r="U28" s="533"/>
      <c r="V28" s="533"/>
      <c r="W28" s="554"/>
      <c r="X28" s="557"/>
      <c r="Y28" s="554"/>
      <c r="Z28" s="560"/>
      <c r="AA28" s="554"/>
      <c r="AB28" s="263" t="s">
        <v>224</v>
      </c>
      <c r="AC28" s="260"/>
      <c r="AD28" s="260"/>
      <c r="AE28" s="260"/>
      <c r="AF28" s="260"/>
      <c r="AG28" s="260"/>
      <c r="AH28" s="260"/>
      <c r="AI28" s="260"/>
      <c r="AJ28" s="260"/>
      <c r="AK28" s="260"/>
      <c r="AL28" s="260"/>
      <c r="AM28" s="260"/>
      <c r="AN28" s="260"/>
      <c r="AO28" s="260"/>
      <c r="AP28" s="260"/>
      <c r="AQ28" s="260">
        <f t="shared" si="5"/>
        <v>0</v>
      </c>
      <c r="AR28" s="261">
        <f t="shared" si="4"/>
        <v>0</v>
      </c>
      <c r="AS28" s="256">
        <f t="shared" si="1"/>
        <v>0</v>
      </c>
      <c r="AT28" s="256">
        <f t="shared" si="1"/>
        <v>0</v>
      </c>
      <c r="AU28" s="256">
        <f t="shared" si="2"/>
        <v>0</v>
      </c>
      <c r="AV28" s="6"/>
      <c r="AW28" s="256">
        <f>+'[4]Metas'!S28:S43-S28</f>
        <v>0</v>
      </c>
      <c r="AX28" s="256">
        <f>+'[4]Metas'!T28:T43-T28</f>
        <v>0</v>
      </c>
      <c r="AY28" s="256">
        <f>+'[4]Metas'!U28:U43-U28</f>
        <v>0</v>
      </c>
      <c r="AZ28" s="256">
        <f>+'[4]Metas'!V28:V43-V28</f>
        <v>0</v>
      </c>
      <c r="BA28" s="6"/>
      <c r="BB28" s="6"/>
      <c r="BC28" s="6"/>
      <c r="BD28" s="6"/>
      <c r="BE28" s="262"/>
      <c r="BF28" s="262"/>
      <c r="BG28" s="262"/>
      <c r="BH28" s="262"/>
      <c r="BI28" s="262"/>
      <c r="BJ28" s="262"/>
      <c r="BN28" s="6"/>
      <c r="BO28" s="6"/>
      <c r="BP28" s="6"/>
      <c r="BQ28" s="6"/>
      <c r="BR28" s="6"/>
      <c r="BS28" s="6"/>
      <c r="BT28" s="6"/>
      <c r="BU28" s="6"/>
      <c r="BV28" s="6"/>
      <c r="BW28" s="6"/>
      <c r="BX28" s="6"/>
      <c r="BY28" s="6"/>
      <c r="BZ28" s="6"/>
      <c r="CA28" s="6"/>
      <c r="CB28" s="6"/>
      <c r="CC28" s="6"/>
      <c r="CD28" s="6"/>
      <c r="CE28" s="6"/>
    </row>
    <row r="29" spans="1:83" s="258" customFormat="1" ht="15.75">
      <c r="A29" s="251"/>
      <c r="B29" s="251"/>
      <c r="C29" s="251"/>
      <c r="D29" s="251"/>
      <c r="E29" s="251"/>
      <c r="F29" s="251"/>
      <c r="G29" s="252"/>
      <c r="H29" s="394"/>
      <c r="I29" s="545"/>
      <c r="J29" s="400"/>
      <c r="K29" s="400"/>
      <c r="L29" s="400"/>
      <c r="M29" s="400"/>
      <c r="N29" s="545"/>
      <c r="O29" s="548"/>
      <c r="P29" s="551"/>
      <c r="Q29" s="533"/>
      <c r="R29" s="533"/>
      <c r="S29" s="533"/>
      <c r="T29" s="533"/>
      <c r="U29" s="533"/>
      <c r="V29" s="533"/>
      <c r="W29" s="554"/>
      <c r="X29" s="557"/>
      <c r="Y29" s="554"/>
      <c r="Z29" s="560"/>
      <c r="AA29" s="554"/>
      <c r="AB29" s="263" t="s">
        <v>225</v>
      </c>
      <c r="AC29" s="260"/>
      <c r="AD29" s="260"/>
      <c r="AE29" s="260"/>
      <c r="AF29" s="260"/>
      <c r="AG29" s="260"/>
      <c r="AH29" s="260"/>
      <c r="AI29" s="260"/>
      <c r="AJ29" s="260"/>
      <c r="AK29" s="260"/>
      <c r="AL29" s="260"/>
      <c r="AM29" s="260"/>
      <c r="AN29" s="260"/>
      <c r="AO29" s="260"/>
      <c r="AP29" s="260"/>
      <c r="AQ29" s="260">
        <f t="shared" si="5"/>
        <v>0</v>
      </c>
      <c r="AR29" s="261">
        <f t="shared" si="4"/>
        <v>0</v>
      </c>
      <c r="AS29" s="256">
        <f t="shared" si="1"/>
        <v>0</v>
      </c>
      <c r="AT29" s="256">
        <f t="shared" si="1"/>
        <v>0</v>
      </c>
      <c r="AU29" s="256">
        <f t="shared" si="2"/>
        <v>0</v>
      </c>
      <c r="AV29" s="6"/>
      <c r="AW29" s="256">
        <f>+'[4]Metas'!S29:S44-S29</f>
        <v>0</v>
      </c>
      <c r="AX29" s="256">
        <f>+'[4]Metas'!T29:T44-T29</f>
        <v>0</v>
      </c>
      <c r="AY29" s="256">
        <f>+'[4]Metas'!U29:U44-U29</f>
        <v>0</v>
      </c>
      <c r="AZ29" s="256">
        <f>+'[4]Metas'!V29:V44-V29</f>
        <v>0</v>
      </c>
      <c r="BA29" s="6"/>
      <c r="BB29" s="6"/>
      <c r="BC29" s="6"/>
      <c r="BD29" s="6"/>
      <c r="BE29" s="262"/>
      <c r="BF29" s="262"/>
      <c r="BG29" s="262"/>
      <c r="BH29" s="262"/>
      <c r="BI29" s="262"/>
      <c r="BJ29" s="262"/>
      <c r="BN29" s="6"/>
      <c r="BO29" s="6"/>
      <c r="BP29" s="6"/>
      <c r="BQ29" s="6"/>
      <c r="BR29" s="6"/>
      <c r="BS29" s="6"/>
      <c r="BT29" s="6"/>
      <c r="BU29" s="6"/>
      <c r="BV29" s="6"/>
      <c r="BW29" s="6"/>
      <c r="BX29" s="6"/>
      <c r="BY29" s="6"/>
      <c r="BZ29" s="6"/>
      <c r="CA29" s="6"/>
      <c r="CB29" s="6"/>
      <c r="CC29" s="6"/>
      <c r="CD29" s="6"/>
      <c r="CE29" s="6"/>
    </row>
    <row r="30" spans="1:83" s="258" customFormat="1" ht="15.75">
      <c r="A30" s="251"/>
      <c r="B30" s="251"/>
      <c r="C30" s="251"/>
      <c r="D30" s="251"/>
      <c r="E30" s="251"/>
      <c r="F30" s="251"/>
      <c r="G30" s="252"/>
      <c r="H30" s="394"/>
      <c r="I30" s="545"/>
      <c r="J30" s="400"/>
      <c r="K30" s="400"/>
      <c r="L30" s="400"/>
      <c r="M30" s="400"/>
      <c r="N30" s="545"/>
      <c r="O30" s="548"/>
      <c r="P30" s="551"/>
      <c r="Q30" s="533"/>
      <c r="R30" s="533"/>
      <c r="S30" s="533"/>
      <c r="T30" s="533"/>
      <c r="U30" s="533"/>
      <c r="V30" s="533"/>
      <c r="W30" s="554"/>
      <c r="X30" s="557"/>
      <c r="Y30" s="554"/>
      <c r="Z30" s="560"/>
      <c r="AA30" s="554"/>
      <c r="AB30" s="264" t="s">
        <v>226</v>
      </c>
      <c r="AC30" s="265">
        <f aca="true" t="shared" si="6" ref="AC30:AR30">SUM(AC24:AC29)+IF(AC22=0,AC23,AC22)</f>
        <v>0</v>
      </c>
      <c r="AD30" s="265">
        <f t="shared" si="6"/>
        <v>0</v>
      </c>
      <c r="AE30" s="265">
        <f t="shared" si="6"/>
        <v>0</v>
      </c>
      <c r="AF30" s="265">
        <f t="shared" si="6"/>
        <v>0</v>
      </c>
      <c r="AG30" s="265">
        <f t="shared" si="6"/>
        <v>0</v>
      </c>
      <c r="AH30" s="265">
        <f t="shared" si="6"/>
        <v>0</v>
      </c>
      <c r="AI30" s="265">
        <f t="shared" si="6"/>
        <v>0</v>
      </c>
      <c r="AJ30" s="265">
        <f t="shared" si="6"/>
        <v>0</v>
      </c>
      <c r="AK30" s="265">
        <f t="shared" si="6"/>
        <v>0</v>
      </c>
      <c r="AL30" s="265">
        <f t="shared" si="6"/>
        <v>0</v>
      </c>
      <c r="AM30" s="265">
        <f t="shared" si="6"/>
        <v>0</v>
      </c>
      <c r="AN30" s="265">
        <f t="shared" si="6"/>
        <v>0</v>
      </c>
      <c r="AO30" s="265">
        <f t="shared" si="6"/>
        <v>0</v>
      </c>
      <c r="AP30" s="265">
        <f t="shared" si="6"/>
        <v>0</v>
      </c>
      <c r="AQ30" s="265">
        <f t="shared" si="6"/>
        <v>0</v>
      </c>
      <c r="AR30" s="266">
        <f t="shared" si="6"/>
        <v>0</v>
      </c>
      <c r="AS30" s="256">
        <f t="shared" si="1"/>
        <v>0</v>
      </c>
      <c r="AT30" s="256">
        <f t="shared" si="1"/>
        <v>0</v>
      </c>
      <c r="AU30" s="256">
        <f t="shared" si="2"/>
        <v>0</v>
      </c>
      <c r="AV30" s="6"/>
      <c r="AW30" s="256">
        <f>+'[4]Metas'!S30:S45-S30</f>
        <v>0</v>
      </c>
      <c r="AX30" s="256">
        <f>+'[4]Metas'!T30:T45-T30</f>
        <v>0</v>
      </c>
      <c r="AY30" s="256">
        <f>+'[4]Metas'!U30:U45-U30</f>
        <v>0</v>
      </c>
      <c r="AZ30" s="256">
        <f>+'[4]Metas'!V30:V45-V30</f>
        <v>0</v>
      </c>
      <c r="BA30" s="6"/>
      <c r="BB30" s="6"/>
      <c r="BC30" s="6"/>
      <c r="BD30" s="6"/>
      <c r="BE30" s="262"/>
      <c r="BF30" s="262"/>
      <c r="BG30" s="262"/>
      <c r="BH30" s="262"/>
      <c r="BI30" s="262"/>
      <c r="BJ30" s="262"/>
      <c r="BN30" s="6"/>
      <c r="BO30" s="6"/>
      <c r="BP30" s="6"/>
      <c r="BQ30" s="6"/>
      <c r="BR30" s="6"/>
      <c r="BS30" s="6"/>
      <c r="BT30" s="6"/>
      <c r="BU30" s="6"/>
      <c r="BV30" s="6"/>
      <c r="BW30" s="6"/>
      <c r="BX30" s="6"/>
      <c r="BY30" s="6"/>
      <c r="BZ30" s="6"/>
      <c r="CA30" s="6"/>
      <c r="CB30" s="6"/>
      <c r="CC30" s="6"/>
      <c r="CD30" s="6"/>
      <c r="CE30" s="6"/>
    </row>
    <row r="31" spans="1:83" s="258" customFormat="1" ht="16.5" thickBot="1">
      <c r="A31" s="251"/>
      <c r="B31" s="251"/>
      <c r="C31" s="251"/>
      <c r="D31" s="251"/>
      <c r="E31" s="251"/>
      <c r="F31" s="251"/>
      <c r="G31" s="252"/>
      <c r="H31" s="395"/>
      <c r="I31" s="546"/>
      <c r="J31" s="401"/>
      <c r="K31" s="401"/>
      <c r="L31" s="401"/>
      <c r="M31" s="401"/>
      <c r="N31" s="546"/>
      <c r="O31" s="549"/>
      <c r="P31" s="552"/>
      <c r="Q31" s="534"/>
      <c r="R31" s="534"/>
      <c r="S31" s="534"/>
      <c r="T31" s="534"/>
      <c r="U31" s="534"/>
      <c r="V31" s="534"/>
      <c r="W31" s="555"/>
      <c r="X31" s="558"/>
      <c r="Y31" s="555"/>
      <c r="Z31" s="561"/>
      <c r="AA31" s="555"/>
      <c r="AB31" s="267" t="s">
        <v>227</v>
      </c>
      <c r="AC31" s="268"/>
      <c r="AD31" s="268"/>
      <c r="AE31" s="268"/>
      <c r="AF31" s="268"/>
      <c r="AG31" s="268"/>
      <c r="AH31" s="268"/>
      <c r="AI31" s="268"/>
      <c r="AJ31" s="268"/>
      <c r="AK31" s="268"/>
      <c r="AL31" s="268"/>
      <c r="AM31" s="268"/>
      <c r="AN31" s="268"/>
      <c r="AO31" s="268"/>
      <c r="AP31" s="268"/>
      <c r="AQ31" s="268">
        <f aca="true" t="shared" si="7" ref="AQ31:AR37">+AC31+AE31+AG31+AI31+AK31+AM31+AO31</f>
        <v>0</v>
      </c>
      <c r="AR31" s="269">
        <f t="shared" si="7"/>
        <v>0</v>
      </c>
      <c r="AS31" s="256">
        <f t="shared" si="1"/>
        <v>0</v>
      </c>
      <c r="AT31" s="256">
        <f t="shared" si="1"/>
        <v>0</v>
      </c>
      <c r="AU31" s="256">
        <f t="shared" si="2"/>
        <v>0</v>
      </c>
      <c r="AV31" s="6"/>
      <c r="AW31" s="256">
        <f>+'[4]Metas'!S31:S46-S31</f>
        <v>0</v>
      </c>
      <c r="AX31" s="256">
        <f>+'[4]Metas'!T31:T46-T31</f>
        <v>0</v>
      </c>
      <c r="AY31" s="256">
        <f>+'[4]Metas'!U31:U46-U31</f>
        <v>0</v>
      </c>
      <c r="AZ31" s="256">
        <f>+'[4]Metas'!V31:V46-V31</f>
        <v>0</v>
      </c>
      <c r="BA31" s="6"/>
      <c r="BB31" s="6"/>
      <c r="BC31" s="6"/>
      <c r="BD31" s="6"/>
      <c r="BE31" s="262"/>
      <c r="BF31" s="262"/>
      <c r="BG31" s="262"/>
      <c r="BH31" s="262"/>
      <c r="BI31" s="262"/>
      <c r="BJ31" s="262"/>
      <c r="BN31" s="6"/>
      <c r="BO31" s="6"/>
      <c r="BP31" s="6"/>
      <c r="BQ31" s="6"/>
      <c r="BR31" s="6"/>
      <c r="BS31" s="6"/>
      <c r="BT31" s="6"/>
      <c r="BU31" s="6"/>
      <c r="BV31" s="6"/>
      <c r="BW31" s="6"/>
      <c r="BX31" s="6"/>
      <c r="BY31" s="6"/>
      <c r="BZ31" s="6"/>
      <c r="CA31" s="6"/>
      <c r="CB31" s="6"/>
      <c r="CC31" s="6"/>
      <c r="CD31" s="6"/>
      <c r="CE31" s="6"/>
    </row>
    <row r="32" spans="1:83" s="258" customFormat="1" ht="21" customHeight="1">
      <c r="A32" s="251" t="s">
        <v>259</v>
      </c>
      <c r="B32" s="251" t="s">
        <v>260</v>
      </c>
      <c r="C32" s="251" t="s">
        <v>202</v>
      </c>
      <c r="D32" s="251" t="s">
        <v>203</v>
      </c>
      <c r="E32" s="251" t="s">
        <v>204</v>
      </c>
      <c r="F32" s="251" t="s">
        <v>261</v>
      </c>
      <c r="G32" s="252">
        <v>12</v>
      </c>
      <c r="H32" s="393">
        <v>879</v>
      </c>
      <c r="I32" s="544" t="s">
        <v>262</v>
      </c>
      <c r="J32" s="399"/>
      <c r="K32" s="399" t="s">
        <v>26</v>
      </c>
      <c r="L32" s="399"/>
      <c r="M32" s="399">
        <v>0</v>
      </c>
      <c r="N32" s="544" t="s">
        <v>114</v>
      </c>
      <c r="O32" s="547">
        <v>0.45</v>
      </c>
      <c r="P32" s="550">
        <v>0.12</v>
      </c>
      <c r="Q32" s="532">
        <f>SUMIF('Actividades inversión 879'!$B$13:$B$17,'Metas inversión 879'!$B32,'Actividades inversión 879'!M$13:M$17)</f>
        <v>87550000</v>
      </c>
      <c r="R32" s="532">
        <f>SUMIF('Actividades inversión 879'!$B$13:$B$17,'Metas inversión 879'!$B32,'Actividades inversión 879'!N$13:N$17)</f>
        <v>87550000</v>
      </c>
      <c r="S32" s="532">
        <f>SUMIF('Actividades inversión 879'!$B$13:$B$17,'Metas inversión 879'!$B32,'Actividades inversión 879'!O$13:O$17)</f>
        <v>87336400</v>
      </c>
      <c r="T32" s="532">
        <f>SUMIF('Actividades inversión 879'!$B$13:$B$17,'Metas inversión 879'!$B32,'Actividades inversión 879'!P$13:P$17)</f>
        <v>32314468</v>
      </c>
      <c r="U32" s="532">
        <f>SUMIF('Actividades inversión 879'!$B$13:$B$17,'Metas inversión 879'!$B32,'Actividades inversión 879'!Q$13:Q$17)</f>
        <v>29252300</v>
      </c>
      <c r="V32" s="532">
        <f>SUMIF('Actividades inversión 879'!$B$13:$B$17,'Metas inversión 879'!$B32,'Actividades inversión 879'!R$13:R$17)</f>
        <v>29252300</v>
      </c>
      <c r="W32" s="553" t="s">
        <v>254</v>
      </c>
      <c r="X32" s="556" t="s">
        <v>255</v>
      </c>
      <c r="Y32" s="553" t="s">
        <v>256</v>
      </c>
      <c r="Z32" s="559" t="s">
        <v>257</v>
      </c>
      <c r="AA32" s="553" t="s">
        <v>258</v>
      </c>
      <c r="AB32" s="253" t="s">
        <v>212</v>
      </c>
      <c r="AC32" s="254"/>
      <c r="AD32" s="254"/>
      <c r="AE32" s="254"/>
      <c r="AF32" s="254"/>
      <c r="AG32" s="254"/>
      <c r="AH32" s="254"/>
      <c r="AI32" s="254"/>
      <c r="AJ32" s="254"/>
      <c r="AK32" s="254"/>
      <c r="AL32" s="254"/>
      <c r="AM32" s="254"/>
      <c r="AN32" s="254"/>
      <c r="AO32" s="254"/>
      <c r="AP32" s="254"/>
      <c r="AQ32" s="254">
        <f t="shared" si="7"/>
        <v>0</v>
      </c>
      <c r="AR32" s="255">
        <f t="shared" si="7"/>
        <v>0</v>
      </c>
      <c r="AS32" s="256">
        <f t="shared" si="1"/>
        <v>213600</v>
      </c>
      <c r="AT32" s="256">
        <f t="shared" si="1"/>
        <v>55021932</v>
      </c>
      <c r="AU32" s="256">
        <f t="shared" si="2"/>
        <v>0</v>
      </c>
      <c r="AV32" s="6"/>
      <c r="AW32" s="256">
        <f>+'[4]Metas'!S32:S47-S32</f>
        <v>-15008080</v>
      </c>
      <c r="AX32" s="256">
        <f>+'[4]Metas'!T32:T47-T32</f>
        <v>23940892</v>
      </c>
      <c r="AY32" s="256">
        <f>+'[4]Metas'!U32:U47-U32</f>
        <v>6411320</v>
      </c>
      <c r="AZ32" s="256">
        <f>+'[4]Metas'!V32:V47-V32</f>
        <v>4594180</v>
      </c>
      <c r="BA32" s="6"/>
      <c r="BB32" s="6"/>
      <c r="BC32" s="6"/>
      <c r="BD32" s="6"/>
      <c r="BE32" s="257">
        <f>SUM('[5]99-METROPOLITANO'!N30)</f>
        <v>87550000</v>
      </c>
      <c r="BF32" s="257">
        <f>SUM('[5]99-METROPOLITANO'!O30)</f>
        <v>87550000</v>
      </c>
      <c r="BG32" s="257">
        <f>SUM('[5]99-METROPOLITANO'!P30)</f>
        <v>87336400</v>
      </c>
      <c r="BH32" s="257">
        <f>SUM('[5]99-METROPOLITANO'!Q30)</f>
        <v>32314468</v>
      </c>
      <c r="BI32" s="257">
        <f>SUM('[5]99-METROPOLITANO'!R30)</f>
        <v>29252300</v>
      </c>
      <c r="BJ32" s="257">
        <f>SUM('[5]99-METROPOLITANO'!S30)</f>
        <v>29252300</v>
      </c>
      <c r="BN32" s="6"/>
      <c r="BO32" s="6"/>
      <c r="BP32" s="6"/>
      <c r="BQ32" s="6"/>
      <c r="BR32" s="6"/>
      <c r="BS32" s="6"/>
      <c r="BT32" s="6"/>
      <c r="BU32" s="6"/>
      <c r="BV32" s="6"/>
      <c r="BW32" s="6"/>
      <c r="BX32" s="6"/>
      <c r="BY32" s="6"/>
      <c r="BZ32" s="6"/>
      <c r="CA32" s="6"/>
      <c r="CB32" s="6"/>
      <c r="CC32" s="6"/>
      <c r="CD32" s="6"/>
      <c r="CE32" s="6"/>
    </row>
    <row r="33" spans="1:83" s="258" customFormat="1" ht="15.75">
      <c r="A33" s="251"/>
      <c r="B33" s="251"/>
      <c r="C33" s="251"/>
      <c r="D33" s="251"/>
      <c r="E33" s="251"/>
      <c r="F33" s="251"/>
      <c r="G33" s="252"/>
      <c r="H33" s="394"/>
      <c r="I33" s="545"/>
      <c r="J33" s="400"/>
      <c r="K33" s="400"/>
      <c r="L33" s="400"/>
      <c r="M33" s="400"/>
      <c r="N33" s="545"/>
      <c r="O33" s="548"/>
      <c r="P33" s="551"/>
      <c r="Q33" s="533"/>
      <c r="R33" s="533"/>
      <c r="S33" s="533"/>
      <c r="T33" s="533"/>
      <c r="U33" s="533"/>
      <c r="V33" s="533"/>
      <c r="W33" s="554"/>
      <c r="X33" s="557"/>
      <c r="Y33" s="554"/>
      <c r="Z33" s="560"/>
      <c r="AA33" s="554"/>
      <c r="AB33" s="259" t="s">
        <v>213</v>
      </c>
      <c r="AC33" s="260"/>
      <c r="AD33" s="260"/>
      <c r="AE33" s="260"/>
      <c r="AF33" s="260"/>
      <c r="AG33" s="260"/>
      <c r="AH33" s="260"/>
      <c r="AI33" s="260"/>
      <c r="AJ33" s="260"/>
      <c r="AK33" s="260"/>
      <c r="AL33" s="260"/>
      <c r="AM33" s="260"/>
      <c r="AN33" s="260"/>
      <c r="AO33" s="260"/>
      <c r="AP33" s="260"/>
      <c r="AQ33" s="260">
        <f t="shared" si="7"/>
        <v>0</v>
      </c>
      <c r="AR33" s="261">
        <f t="shared" si="7"/>
        <v>0</v>
      </c>
      <c r="AS33" s="256">
        <f t="shared" si="1"/>
        <v>0</v>
      </c>
      <c r="AT33" s="256">
        <f t="shared" si="1"/>
        <v>0</v>
      </c>
      <c r="AU33" s="256">
        <f t="shared" si="2"/>
        <v>0</v>
      </c>
      <c r="AV33" s="6"/>
      <c r="AW33" s="256">
        <f>+'[4]Metas'!S33:S48-S33</f>
        <v>0</v>
      </c>
      <c r="AX33" s="256">
        <f>+'[4]Metas'!T33:T48-T33</f>
        <v>0</v>
      </c>
      <c r="AY33" s="256">
        <f>+'[4]Metas'!U33:U48-U33</f>
        <v>0</v>
      </c>
      <c r="AZ33" s="256">
        <f>+'[4]Metas'!V33:V48-V33</f>
        <v>0</v>
      </c>
      <c r="BA33" s="6"/>
      <c r="BB33" s="6"/>
      <c r="BC33" s="6"/>
      <c r="BD33" s="6"/>
      <c r="BE33" s="262"/>
      <c r="BF33" s="262"/>
      <c r="BG33" s="262"/>
      <c r="BH33" s="262"/>
      <c r="BI33" s="262"/>
      <c r="BJ33" s="262"/>
      <c r="BN33" s="6"/>
      <c r="BO33" s="6"/>
      <c r="BP33" s="6"/>
      <c r="BQ33" s="6"/>
      <c r="BR33" s="6"/>
      <c r="BS33" s="6"/>
      <c r="BT33" s="6"/>
      <c r="BU33" s="6"/>
      <c r="BV33" s="6"/>
      <c r="BW33" s="6"/>
      <c r="BX33" s="6"/>
      <c r="BY33" s="6"/>
      <c r="BZ33" s="6"/>
      <c r="CA33" s="6"/>
      <c r="CB33" s="6"/>
      <c r="CC33" s="6"/>
      <c r="CD33" s="6"/>
      <c r="CE33" s="6"/>
    </row>
    <row r="34" spans="1:83" s="258" customFormat="1" ht="15.75">
      <c r="A34" s="251"/>
      <c r="B34" s="251"/>
      <c r="C34" s="251"/>
      <c r="D34" s="251"/>
      <c r="E34" s="251"/>
      <c r="F34" s="251"/>
      <c r="G34" s="252"/>
      <c r="H34" s="394"/>
      <c r="I34" s="545"/>
      <c r="J34" s="400"/>
      <c r="K34" s="400"/>
      <c r="L34" s="400"/>
      <c r="M34" s="400"/>
      <c r="N34" s="545"/>
      <c r="O34" s="548"/>
      <c r="P34" s="551"/>
      <c r="Q34" s="533"/>
      <c r="R34" s="533"/>
      <c r="S34" s="533"/>
      <c r="T34" s="533"/>
      <c r="U34" s="533"/>
      <c r="V34" s="533"/>
      <c r="W34" s="554"/>
      <c r="X34" s="557"/>
      <c r="Y34" s="554"/>
      <c r="Z34" s="560"/>
      <c r="AA34" s="554"/>
      <c r="AB34" s="259" t="s">
        <v>214</v>
      </c>
      <c r="AC34" s="260"/>
      <c r="AD34" s="260"/>
      <c r="AE34" s="260"/>
      <c r="AF34" s="260"/>
      <c r="AG34" s="260"/>
      <c r="AH34" s="260"/>
      <c r="AI34" s="260"/>
      <c r="AJ34" s="260"/>
      <c r="AK34" s="260"/>
      <c r="AL34" s="260"/>
      <c r="AM34" s="260"/>
      <c r="AN34" s="260"/>
      <c r="AO34" s="260"/>
      <c r="AP34" s="260"/>
      <c r="AQ34" s="260">
        <f t="shared" si="7"/>
        <v>0</v>
      </c>
      <c r="AR34" s="261">
        <f t="shared" si="7"/>
        <v>0</v>
      </c>
      <c r="AS34" s="256">
        <f t="shared" si="1"/>
        <v>0</v>
      </c>
      <c r="AT34" s="256">
        <f t="shared" si="1"/>
        <v>0</v>
      </c>
      <c r="AU34" s="256">
        <f t="shared" si="2"/>
        <v>0</v>
      </c>
      <c r="AV34" s="6"/>
      <c r="AW34" s="256">
        <f>+'[4]Metas'!S34:S49-S34</f>
        <v>0</v>
      </c>
      <c r="AX34" s="256">
        <f>+'[4]Metas'!T34:T49-T34</f>
        <v>0</v>
      </c>
      <c r="AY34" s="256">
        <f>+'[4]Metas'!U34:U49-U34</f>
        <v>0</v>
      </c>
      <c r="AZ34" s="256">
        <f>+'[4]Metas'!V34:V49-V34</f>
        <v>0</v>
      </c>
      <c r="BA34" s="6"/>
      <c r="BB34" s="6"/>
      <c r="BC34" s="6"/>
      <c r="BD34" s="6"/>
      <c r="BE34" s="262"/>
      <c r="BF34" s="262"/>
      <c r="BG34" s="262"/>
      <c r="BH34" s="262"/>
      <c r="BI34" s="262"/>
      <c r="BJ34" s="262"/>
      <c r="BN34" s="6"/>
      <c r="BO34" s="6"/>
      <c r="BP34" s="6"/>
      <c r="BQ34" s="6"/>
      <c r="BR34" s="6"/>
      <c r="BS34" s="6"/>
      <c r="BT34" s="6"/>
      <c r="BU34" s="6"/>
      <c r="BV34" s="6"/>
      <c r="BW34" s="6"/>
      <c r="BX34" s="6"/>
      <c r="BY34" s="6"/>
      <c r="BZ34" s="6"/>
      <c r="CA34" s="6"/>
      <c r="CB34" s="6"/>
      <c r="CC34" s="6"/>
      <c r="CD34" s="6"/>
      <c r="CE34" s="6"/>
    </row>
    <row r="35" spans="1:83" s="258" customFormat="1" ht="15.75">
      <c r="A35" s="251"/>
      <c r="B35" s="251"/>
      <c r="C35" s="251"/>
      <c r="D35" s="251"/>
      <c r="E35" s="251"/>
      <c r="F35" s="251"/>
      <c r="G35" s="252"/>
      <c r="H35" s="394"/>
      <c r="I35" s="545"/>
      <c r="J35" s="400"/>
      <c r="K35" s="400"/>
      <c r="L35" s="400"/>
      <c r="M35" s="400"/>
      <c r="N35" s="545"/>
      <c r="O35" s="548"/>
      <c r="P35" s="551"/>
      <c r="Q35" s="533"/>
      <c r="R35" s="533"/>
      <c r="S35" s="533"/>
      <c r="T35" s="533"/>
      <c r="U35" s="533"/>
      <c r="V35" s="533"/>
      <c r="W35" s="554"/>
      <c r="X35" s="557"/>
      <c r="Y35" s="554"/>
      <c r="Z35" s="560"/>
      <c r="AA35" s="554"/>
      <c r="AB35" s="259" t="s">
        <v>215</v>
      </c>
      <c r="AC35" s="260"/>
      <c r="AD35" s="260"/>
      <c r="AE35" s="260"/>
      <c r="AF35" s="260"/>
      <c r="AG35" s="260"/>
      <c r="AH35" s="260"/>
      <c r="AI35" s="260"/>
      <c r="AJ35" s="260"/>
      <c r="AK35" s="260"/>
      <c r="AL35" s="260"/>
      <c r="AM35" s="260"/>
      <c r="AN35" s="260"/>
      <c r="AO35" s="260"/>
      <c r="AP35" s="260"/>
      <c r="AQ35" s="260">
        <f t="shared" si="7"/>
        <v>0</v>
      </c>
      <c r="AR35" s="261">
        <f t="shared" si="7"/>
        <v>0</v>
      </c>
      <c r="AS35" s="256">
        <f t="shared" si="1"/>
        <v>0</v>
      </c>
      <c r="AT35" s="256">
        <f t="shared" si="1"/>
        <v>0</v>
      </c>
      <c r="AU35" s="256">
        <f t="shared" si="2"/>
        <v>0</v>
      </c>
      <c r="AV35" s="6"/>
      <c r="AW35" s="256">
        <f>+'[4]Metas'!S35:S50-S35</f>
        <v>0</v>
      </c>
      <c r="AX35" s="256">
        <f>+'[4]Metas'!T35:T50-T35</f>
        <v>0</v>
      </c>
      <c r="AY35" s="256">
        <f>+'[4]Metas'!U35:U50-U35</f>
        <v>0</v>
      </c>
      <c r="AZ35" s="256">
        <f>+'[4]Metas'!V35:V50-V35</f>
        <v>0</v>
      </c>
      <c r="BA35" s="6"/>
      <c r="BB35" s="6"/>
      <c r="BC35" s="6"/>
      <c r="BD35" s="6"/>
      <c r="BE35" s="262"/>
      <c r="BF35" s="262"/>
      <c r="BG35" s="262"/>
      <c r="BH35" s="262"/>
      <c r="BI35" s="262"/>
      <c r="BJ35" s="262"/>
      <c r="BN35" s="6"/>
      <c r="BO35" s="6"/>
      <c r="BP35" s="6"/>
      <c r="BQ35" s="6"/>
      <c r="BR35" s="6"/>
      <c r="BS35" s="6"/>
      <c r="BT35" s="6"/>
      <c r="BU35" s="6"/>
      <c r="BV35" s="6"/>
      <c r="BW35" s="6"/>
      <c r="BX35" s="6"/>
      <c r="BY35" s="6"/>
      <c r="BZ35" s="6"/>
      <c r="CA35" s="6"/>
      <c r="CB35" s="6"/>
      <c r="CC35" s="6"/>
      <c r="CD35" s="6"/>
      <c r="CE35" s="6"/>
    </row>
    <row r="36" spans="1:83" s="258" customFormat="1" ht="15.75">
      <c r="A36" s="251"/>
      <c r="B36" s="251"/>
      <c r="C36" s="251"/>
      <c r="D36" s="251"/>
      <c r="E36" s="251"/>
      <c r="F36" s="251"/>
      <c r="G36" s="252"/>
      <c r="H36" s="394"/>
      <c r="I36" s="545"/>
      <c r="J36" s="400"/>
      <c r="K36" s="400"/>
      <c r="L36" s="400"/>
      <c r="M36" s="400"/>
      <c r="N36" s="545"/>
      <c r="O36" s="548"/>
      <c r="P36" s="551"/>
      <c r="Q36" s="533"/>
      <c r="R36" s="533"/>
      <c r="S36" s="533"/>
      <c r="T36" s="533"/>
      <c r="U36" s="533"/>
      <c r="V36" s="533"/>
      <c r="W36" s="554"/>
      <c r="X36" s="557"/>
      <c r="Y36" s="554"/>
      <c r="Z36" s="560"/>
      <c r="AA36" s="554"/>
      <c r="AB36" s="259" t="s">
        <v>216</v>
      </c>
      <c r="AC36" s="260"/>
      <c r="AD36" s="260"/>
      <c r="AE36" s="260"/>
      <c r="AF36" s="260"/>
      <c r="AG36" s="260"/>
      <c r="AH36" s="260"/>
      <c r="AI36" s="260"/>
      <c r="AJ36" s="260"/>
      <c r="AK36" s="260"/>
      <c r="AL36" s="260"/>
      <c r="AM36" s="260"/>
      <c r="AN36" s="260"/>
      <c r="AO36" s="260"/>
      <c r="AP36" s="260"/>
      <c r="AQ36" s="260">
        <f t="shared" si="7"/>
        <v>0</v>
      </c>
      <c r="AR36" s="261">
        <f t="shared" si="7"/>
        <v>0</v>
      </c>
      <c r="AS36" s="256">
        <f t="shared" si="1"/>
        <v>0</v>
      </c>
      <c r="AT36" s="256">
        <f t="shared" si="1"/>
        <v>0</v>
      </c>
      <c r="AU36" s="256">
        <f t="shared" si="2"/>
        <v>0</v>
      </c>
      <c r="AV36" s="6"/>
      <c r="AW36" s="256">
        <f>+'[4]Metas'!S36:S51-S36</f>
        <v>0</v>
      </c>
      <c r="AX36" s="256">
        <f>+'[4]Metas'!T36:T51-T36</f>
        <v>0</v>
      </c>
      <c r="AY36" s="256">
        <f>+'[4]Metas'!U36:U51-U36</f>
        <v>0</v>
      </c>
      <c r="AZ36" s="256">
        <f>+'[4]Metas'!V36:V51-V36</f>
        <v>0</v>
      </c>
      <c r="BA36" s="6"/>
      <c r="BB36" s="6"/>
      <c r="BC36" s="6"/>
      <c r="BD36" s="6"/>
      <c r="BE36" s="262"/>
      <c r="BF36" s="262"/>
      <c r="BG36" s="262"/>
      <c r="BH36" s="262"/>
      <c r="BI36" s="262"/>
      <c r="BJ36" s="262"/>
      <c r="BN36" s="6"/>
      <c r="BO36" s="6"/>
      <c r="BP36" s="6"/>
      <c r="BQ36" s="6"/>
      <c r="BR36" s="6"/>
      <c r="BS36" s="6"/>
      <c r="BT36" s="6"/>
      <c r="BU36" s="6"/>
      <c r="BV36" s="6"/>
      <c r="BW36" s="6"/>
      <c r="BX36" s="6"/>
      <c r="BY36" s="6"/>
      <c r="BZ36" s="6"/>
      <c r="CA36" s="6"/>
      <c r="CB36" s="6"/>
      <c r="CC36" s="6"/>
      <c r="CD36" s="6"/>
      <c r="CE36" s="6"/>
    </row>
    <row r="37" spans="1:83" s="258" customFormat="1" ht="15.75">
      <c r="A37" s="251"/>
      <c r="B37" s="251"/>
      <c r="C37" s="251"/>
      <c r="D37" s="251"/>
      <c r="E37" s="251"/>
      <c r="F37" s="251"/>
      <c r="G37" s="252"/>
      <c r="H37" s="394"/>
      <c r="I37" s="545"/>
      <c r="J37" s="400"/>
      <c r="K37" s="400"/>
      <c r="L37" s="400"/>
      <c r="M37" s="400"/>
      <c r="N37" s="545"/>
      <c r="O37" s="548"/>
      <c r="P37" s="551"/>
      <c r="Q37" s="533"/>
      <c r="R37" s="533"/>
      <c r="S37" s="533"/>
      <c r="T37" s="533"/>
      <c r="U37" s="533"/>
      <c r="V37" s="533"/>
      <c r="W37" s="554"/>
      <c r="X37" s="557"/>
      <c r="Y37" s="554"/>
      <c r="Z37" s="560"/>
      <c r="AA37" s="554"/>
      <c r="AB37" s="263" t="s">
        <v>217</v>
      </c>
      <c r="AC37" s="260"/>
      <c r="AD37" s="260"/>
      <c r="AE37" s="260"/>
      <c r="AF37" s="260"/>
      <c r="AG37" s="260"/>
      <c r="AH37" s="260"/>
      <c r="AI37" s="260"/>
      <c r="AJ37" s="260"/>
      <c r="AK37" s="260"/>
      <c r="AL37" s="260"/>
      <c r="AM37" s="260"/>
      <c r="AN37" s="260"/>
      <c r="AO37" s="260"/>
      <c r="AP37" s="260"/>
      <c r="AQ37" s="260">
        <f t="shared" si="7"/>
        <v>0</v>
      </c>
      <c r="AR37" s="261">
        <f t="shared" si="7"/>
        <v>0</v>
      </c>
      <c r="AS37" s="256">
        <f t="shared" si="1"/>
        <v>0</v>
      </c>
      <c r="AT37" s="256">
        <f t="shared" si="1"/>
        <v>0</v>
      </c>
      <c r="AU37" s="256">
        <f t="shared" si="2"/>
        <v>0</v>
      </c>
      <c r="AV37" s="6"/>
      <c r="AW37" s="256">
        <f>+'[4]Metas'!S37:S52-S37</f>
        <v>0</v>
      </c>
      <c r="AX37" s="256">
        <f>+'[4]Metas'!T37:T52-T37</f>
        <v>0</v>
      </c>
      <c r="AY37" s="256">
        <f>+'[4]Metas'!U37:U52-U37</f>
        <v>0</v>
      </c>
      <c r="AZ37" s="256">
        <f>+'[4]Metas'!V37:V52-V37</f>
        <v>0</v>
      </c>
      <c r="BA37" s="6"/>
      <c r="BB37" s="6"/>
      <c r="BC37" s="6"/>
      <c r="BD37" s="6"/>
      <c r="BE37" s="262"/>
      <c r="BF37" s="262"/>
      <c r="BG37" s="262"/>
      <c r="BH37" s="262"/>
      <c r="BI37" s="262"/>
      <c r="BJ37" s="262"/>
      <c r="BN37" s="6"/>
      <c r="BO37" s="6"/>
      <c r="BP37" s="6"/>
      <c r="BQ37" s="6"/>
      <c r="BR37" s="6"/>
      <c r="BS37" s="6"/>
      <c r="BT37" s="6"/>
      <c r="BU37" s="6"/>
      <c r="BV37" s="6"/>
      <c r="BW37" s="6"/>
      <c r="BX37" s="6"/>
      <c r="BY37" s="6"/>
      <c r="BZ37" s="6"/>
      <c r="CA37" s="6"/>
      <c r="CB37" s="6"/>
      <c r="CC37" s="6"/>
      <c r="CD37" s="6"/>
      <c r="CE37" s="6"/>
    </row>
    <row r="38" spans="1:83" s="258" customFormat="1" ht="15.75">
      <c r="A38" s="251"/>
      <c r="B38" s="251"/>
      <c r="C38" s="251"/>
      <c r="D38" s="251"/>
      <c r="E38" s="251"/>
      <c r="F38" s="251"/>
      <c r="G38" s="252"/>
      <c r="H38" s="394"/>
      <c r="I38" s="545"/>
      <c r="J38" s="400"/>
      <c r="K38" s="400"/>
      <c r="L38" s="400"/>
      <c r="M38" s="400"/>
      <c r="N38" s="545"/>
      <c r="O38" s="548"/>
      <c r="P38" s="551"/>
      <c r="Q38" s="533"/>
      <c r="R38" s="533"/>
      <c r="S38" s="533"/>
      <c r="T38" s="533"/>
      <c r="U38" s="533"/>
      <c r="V38" s="533"/>
      <c r="W38" s="554"/>
      <c r="X38" s="557"/>
      <c r="Y38" s="554"/>
      <c r="Z38" s="560"/>
      <c r="AA38" s="554"/>
      <c r="AB38" s="264" t="s">
        <v>218</v>
      </c>
      <c r="AC38" s="265">
        <f aca="true" t="shared" si="8" ref="AC38:AR38">SUM(AC32:AC37)</f>
        <v>0</v>
      </c>
      <c r="AD38" s="265">
        <f t="shared" si="8"/>
        <v>0</v>
      </c>
      <c r="AE38" s="265">
        <f t="shared" si="8"/>
        <v>0</v>
      </c>
      <c r="AF38" s="265">
        <f t="shared" si="8"/>
        <v>0</v>
      </c>
      <c r="AG38" s="265">
        <f t="shared" si="8"/>
        <v>0</v>
      </c>
      <c r="AH38" s="265">
        <f t="shared" si="8"/>
        <v>0</v>
      </c>
      <c r="AI38" s="265">
        <f t="shared" si="8"/>
        <v>0</v>
      </c>
      <c r="AJ38" s="265">
        <f t="shared" si="8"/>
        <v>0</v>
      </c>
      <c r="AK38" s="265">
        <f t="shared" si="8"/>
        <v>0</v>
      </c>
      <c r="AL38" s="265">
        <f t="shared" si="8"/>
        <v>0</v>
      </c>
      <c r="AM38" s="265">
        <f t="shared" si="8"/>
        <v>0</v>
      </c>
      <c r="AN38" s="265">
        <f t="shared" si="8"/>
        <v>0</v>
      </c>
      <c r="AO38" s="265">
        <f t="shared" si="8"/>
        <v>0</v>
      </c>
      <c r="AP38" s="265">
        <f t="shared" si="8"/>
        <v>0</v>
      </c>
      <c r="AQ38" s="265">
        <f t="shared" si="8"/>
        <v>0</v>
      </c>
      <c r="AR38" s="266">
        <f t="shared" si="8"/>
        <v>0</v>
      </c>
      <c r="AS38" s="256">
        <f t="shared" si="1"/>
        <v>0</v>
      </c>
      <c r="AT38" s="256">
        <f t="shared" si="1"/>
        <v>0</v>
      </c>
      <c r="AU38" s="256">
        <f t="shared" si="2"/>
        <v>0</v>
      </c>
      <c r="AV38" s="6"/>
      <c r="AW38" s="256">
        <f>+'[4]Metas'!S38:S53-S38</f>
        <v>0</v>
      </c>
      <c r="AX38" s="256">
        <f>+'[4]Metas'!T38:T53-T38</f>
        <v>0</v>
      </c>
      <c r="AY38" s="256">
        <f>+'[4]Metas'!U38:U53-U38</f>
        <v>0</v>
      </c>
      <c r="AZ38" s="256">
        <f>+'[4]Metas'!V38:V53-V38</f>
        <v>0</v>
      </c>
      <c r="BA38" s="6"/>
      <c r="BB38" s="6"/>
      <c r="BC38" s="6"/>
      <c r="BD38" s="6"/>
      <c r="BE38" s="262"/>
      <c r="BF38" s="262"/>
      <c r="BG38" s="262"/>
      <c r="BH38" s="262"/>
      <c r="BI38" s="262"/>
      <c r="BJ38" s="262"/>
      <c r="BN38" s="6"/>
      <c r="BO38" s="6"/>
      <c r="BP38" s="6"/>
      <c r="BQ38" s="6"/>
      <c r="BR38" s="6"/>
      <c r="BS38" s="6"/>
      <c r="BT38" s="6"/>
      <c r="BU38" s="6"/>
      <c r="BV38" s="6"/>
      <c r="BW38" s="6"/>
      <c r="BX38" s="6"/>
      <c r="BY38" s="6"/>
      <c r="BZ38" s="6"/>
      <c r="CA38" s="6"/>
      <c r="CB38" s="6"/>
      <c r="CC38" s="6"/>
      <c r="CD38" s="6"/>
      <c r="CE38" s="6"/>
    </row>
    <row r="39" spans="1:83" s="258" customFormat="1" ht="15.75">
      <c r="A39" s="251"/>
      <c r="B39" s="251"/>
      <c r="C39" s="251"/>
      <c r="D39" s="251"/>
      <c r="E39" s="251"/>
      <c r="F39" s="251"/>
      <c r="G39" s="252"/>
      <c r="H39" s="394"/>
      <c r="I39" s="545"/>
      <c r="J39" s="400"/>
      <c r="K39" s="400"/>
      <c r="L39" s="400"/>
      <c r="M39" s="400"/>
      <c r="N39" s="545"/>
      <c r="O39" s="548"/>
      <c r="P39" s="551"/>
      <c r="Q39" s="533"/>
      <c r="R39" s="533"/>
      <c r="S39" s="533"/>
      <c r="T39" s="533"/>
      <c r="U39" s="533"/>
      <c r="V39" s="533"/>
      <c r="W39" s="554"/>
      <c r="X39" s="557"/>
      <c r="Y39" s="554"/>
      <c r="Z39" s="560"/>
      <c r="AA39" s="554"/>
      <c r="AB39" s="259" t="s">
        <v>219</v>
      </c>
      <c r="AC39" s="260"/>
      <c r="AD39" s="260"/>
      <c r="AE39" s="260"/>
      <c r="AF39" s="260"/>
      <c r="AG39" s="260"/>
      <c r="AH39" s="260"/>
      <c r="AI39" s="260"/>
      <c r="AJ39" s="260"/>
      <c r="AK39" s="260"/>
      <c r="AL39" s="260"/>
      <c r="AM39" s="260"/>
      <c r="AN39" s="260"/>
      <c r="AO39" s="260"/>
      <c r="AP39" s="260"/>
      <c r="AQ39" s="260">
        <f>+AC39+AE39+AG39+AI39+AK39+AM39+AO39</f>
        <v>0</v>
      </c>
      <c r="AR39" s="261">
        <f aca="true" t="shared" si="9" ref="AR39:AR45">+AD39+AF39+AH39+AJ39+AL39+AN39+AP39</f>
        <v>0</v>
      </c>
      <c r="AS39" s="256">
        <f t="shared" si="1"/>
        <v>0</v>
      </c>
      <c r="AT39" s="256">
        <f t="shared" si="1"/>
        <v>0</v>
      </c>
      <c r="AU39" s="256">
        <f t="shared" si="2"/>
        <v>0</v>
      </c>
      <c r="AV39" s="6"/>
      <c r="AW39" s="256">
        <f>+'[4]Metas'!S39:S54-S39</f>
        <v>0</v>
      </c>
      <c r="AX39" s="256">
        <f>+'[4]Metas'!T39:T54-T39</f>
        <v>0</v>
      </c>
      <c r="AY39" s="256">
        <f>+'[4]Metas'!U39:U54-U39</f>
        <v>0</v>
      </c>
      <c r="AZ39" s="256">
        <f>+'[4]Metas'!V39:V54-V39</f>
        <v>0</v>
      </c>
      <c r="BA39" s="6"/>
      <c r="BB39" s="6"/>
      <c r="BC39" s="6"/>
      <c r="BD39" s="6"/>
      <c r="BE39" s="262"/>
      <c r="BF39" s="262"/>
      <c r="BG39" s="262"/>
      <c r="BH39" s="262"/>
      <c r="BI39" s="262"/>
      <c r="BJ39" s="262"/>
      <c r="BN39" s="6"/>
      <c r="BO39" s="6"/>
      <c r="BP39" s="6"/>
      <c r="BQ39" s="6"/>
      <c r="BR39" s="6"/>
      <c r="BS39" s="6"/>
      <c r="BT39" s="6"/>
      <c r="BU39" s="6"/>
      <c r="BV39" s="6"/>
      <c r="BW39" s="6"/>
      <c r="BX39" s="6"/>
      <c r="BY39" s="6"/>
      <c r="BZ39" s="6"/>
      <c r="CA39" s="6"/>
      <c r="CB39" s="6"/>
      <c r="CC39" s="6"/>
      <c r="CD39" s="6"/>
      <c r="CE39" s="6"/>
    </row>
    <row r="40" spans="1:83" s="258" customFormat="1" ht="15.75">
      <c r="A40" s="251"/>
      <c r="B40" s="251"/>
      <c r="C40" s="251"/>
      <c r="D40" s="251"/>
      <c r="E40" s="251"/>
      <c r="F40" s="251"/>
      <c r="G40" s="252"/>
      <c r="H40" s="394"/>
      <c r="I40" s="545"/>
      <c r="J40" s="400"/>
      <c r="K40" s="400"/>
      <c r="L40" s="400"/>
      <c r="M40" s="400"/>
      <c r="N40" s="545"/>
      <c r="O40" s="548"/>
      <c r="P40" s="551"/>
      <c r="Q40" s="533"/>
      <c r="R40" s="533"/>
      <c r="S40" s="533"/>
      <c r="T40" s="533"/>
      <c r="U40" s="533"/>
      <c r="V40" s="533"/>
      <c r="W40" s="554"/>
      <c r="X40" s="557"/>
      <c r="Y40" s="554"/>
      <c r="Z40" s="560"/>
      <c r="AA40" s="554"/>
      <c r="AB40" s="259" t="s">
        <v>220</v>
      </c>
      <c r="AC40" s="260"/>
      <c r="AD40" s="260"/>
      <c r="AE40" s="260"/>
      <c r="AF40" s="260"/>
      <c r="AG40" s="260"/>
      <c r="AH40" s="260"/>
      <c r="AI40" s="260"/>
      <c r="AJ40" s="260"/>
      <c r="AK40" s="260"/>
      <c r="AL40" s="260"/>
      <c r="AM40" s="260"/>
      <c r="AN40" s="260"/>
      <c r="AO40" s="260"/>
      <c r="AP40" s="260"/>
      <c r="AQ40" s="260">
        <f aca="true" t="shared" si="10" ref="AQ40:AQ45">+AC40+AE40+AG40+AI40+AK40+AM40+AO40</f>
        <v>0</v>
      </c>
      <c r="AR40" s="261">
        <f t="shared" si="9"/>
        <v>0</v>
      </c>
      <c r="AS40" s="256">
        <f t="shared" si="1"/>
        <v>0</v>
      </c>
      <c r="AT40" s="256">
        <f t="shared" si="1"/>
        <v>0</v>
      </c>
      <c r="AU40" s="256">
        <f t="shared" si="2"/>
        <v>0</v>
      </c>
      <c r="AV40" s="6"/>
      <c r="AW40" s="256">
        <f>+'[4]Metas'!S40:S55-S40</f>
        <v>0</v>
      </c>
      <c r="AX40" s="256">
        <f>+'[4]Metas'!T40:T55-T40</f>
        <v>0</v>
      </c>
      <c r="AY40" s="256">
        <f>+'[4]Metas'!U40:U55-U40</f>
        <v>0</v>
      </c>
      <c r="AZ40" s="256">
        <f>+'[4]Metas'!V40:V55-V40</f>
        <v>0</v>
      </c>
      <c r="BA40" s="6"/>
      <c r="BB40" s="6"/>
      <c r="BC40" s="6"/>
      <c r="BD40" s="6"/>
      <c r="BE40" s="262"/>
      <c r="BF40" s="262"/>
      <c r="BG40" s="262"/>
      <c r="BH40" s="262"/>
      <c r="BI40" s="262"/>
      <c r="BJ40" s="262"/>
      <c r="BN40" s="6"/>
      <c r="BO40" s="6"/>
      <c r="BP40" s="6"/>
      <c r="BQ40" s="6"/>
      <c r="BR40" s="6"/>
      <c r="BS40" s="6"/>
      <c r="BT40" s="6"/>
      <c r="BU40" s="6"/>
      <c r="BV40" s="6"/>
      <c r="BW40" s="6"/>
      <c r="BX40" s="6"/>
      <c r="BY40" s="6"/>
      <c r="BZ40" s="6"/>
      <c r="CA40" s="6"/>
      <c r="CB40" s="6"/>
      <c r="CC40" s="6"/>
      <c r="CD40" s="6"/>
      <c r="CE40" s="6"/>
    </row>
    <row r="41" spans="1:83" s="258" customFormat="1" ht="15.75">
      <c r="A41" s="251"/>
      <c r="B41" s="251"/>
      <c r="C41" s="251"/>
      <c r="D41" s="251"/>
      <c r="E41" s="251"/>
      <c r="F41" s="251"/>
      <c r="G41" s="252"/>
      <c r="H41" s="394"/>
      <c r="I41" s="545"/>
      <c r="J41" s="400"/>
      <c r="K41" s="400"/>
      <c r="L41" s="400"/>
      <c r="M41" s="400"/>
      <c r="N41" s="545"/>
      <c r="O41" s="548"/>
      <c r="P41" s="551"/>
      <c r="Q41" s="533"/>
      <c r="R41" s="533"/>
      <c r="S41" s="533"/>
      <c r="T41" s="533"/>
      <c r="U41" s="533"/>
      <c r="V41" s="533"/>
      <c r="W41" s="554"/>
      <c r="X41" s="557"/>
      <c r="Y41" s="554"/>
      <c r="Z41" s="560"/>
      <c r="AA41" s="554"/>
      <c r="AB41" s="263" t="s">
        <v>221</v>
      </c>
      <c r="AC41" s="260"/>
      <c r="AD41" s="260"/>
      <c r="AE41" s="260"/>
      <c r="AF41" s="260"/>
      <c r="AG41" s="260"/>
      <c r="AH41" s="260"/>
      <c r="AI41" s="260"/>
      <c r="AJ41" s="260"/>
      <c r="AK41" s="260"/>
      <c r="AL41" s="260"/>
      <c r="AM41" s="260"/>
      <c r="AN41" s="260"/>
      <c r="AO41" s="260"/>
      <c r="AP41" s="260"/>
      <c r="AQ41" s="260">
        <f t="shared" si="10"/>
        <v>0</v>
      </c>
      <c r="AR41" s="261">
        <f t="shared" si="9"/>
        <v>0</v>
      </c>
      <c r="AS41" s="256">
        <f t="shared" si="1"/>
        <v>0</v>
      </c>
      <c r="AT41" s="256">
        <f t="shared" si="1"/>
        <v>0</v>
      </c>
      <c r="AU41" s="256">
        <f t="shared" si="2"/>
        <v>0</v>
      </c>
      <c r="AV41" s="6"/>
      <c r="AW41" s="256">
        <f>+'[4]Metas'!S41:S56-S41</f>
        <v>0</v>
      </c>
      <c r="AX41" s="256">
        <f>+'[4]Metas'!T41:T56-T41</f>
        <v>0</v>
      </c>
      <c r="AY41" s="256">
        <f>+'[4]Metas'!U41:U56-U41</f>
        <v>0</v>
      </c>
      <c r="AZ41" s="256">
        <f>+'[4]Metas'!V41:V56-V41</f>
        <v>0</v>
      </c>
      <c r="BA41" s="6"/>
      <c r="BB41" s="6"/>
      <c r="BC41" s="6"/>
      <c r="BD41" s="6"/>
      <c r="BE41" s="262"/>
      <c r="BF41" s="262"/>
      <c r="BG41" s="262"/>
      <c r="BH41" s="262"/>
      <c r="BI41" s="262"/>
      <c r="BJ41" s="262"/>
      <c r="BN41" s="6"/>
      <c r="BO41" s="6"/>
      <c r="BP41" s="6"/>
      <c r="BQ41" s="6"/>
      <c r="BR41" s="6"/>
      <c r="BS41" s="6"/>
      <c r="BT41" s="6"/>
      <c r="BU41" s="6"/>
      <c r="BV41" s="6"/>
      <c r="BW41" s="6"/>
      <c r="BX41" s="6"/>
      <c r="BY41" s="6"/>
      <c r="BZ41" s="6"/>
      <c r="CA41" s="6"/>
      <c r="CB41" s="6"/>
      <c r="CC41" s="6"/>
      <c r="CD41" s="6"/>
      <c r="CE41" s="6"/>
    </row>
    <row r="42" spans="1:83" s="258" customFormat="1" ht="15.75">
      <c r="A42" s="251"/>
      <c r="B42" s="251"/>
      <c r="C42" s="251"/>
      <c r="D42" s="251"/>
      <c r="E42" s="251"/>
      <c r="F42" s="251"/>
      <c r="G42" s="252"/>
      <c r="H42" s="394"/>
      <c r="I42" s="545"/>
      <c r="J42" s="400"/>
      <c r="K42" s="400"/>
      <c r="L42" s="400"/>
      <c r="M42" s="400"/>
      <c r="N42" s="545"/>
      <c r="O42" s="548"/>
      <c r="P42" s="551"/>
      <c r="Q42" s="533"/>
      <c r="R42" s="533"/>
      <c r="S42" s="533"/>
      <c r="T42" s="533"/>
      <c r="U42" s="533"/>
      <c r="V42" s="533"/>
      <c r="W42" s="554"/>
      <c r="X42" s="557"/>
      <c r="Y42" s="554"/>
      <c r="Z42" s="560"/>
      <c r="AA42" s="554"/>
      <c r="AB42" s="263" t="s">
        <v>222</v>
      </c>
      <c r="AC42" s="260"/>
      <c r="AD42" s="260"/>
      <c r="AE42" s="260"/>
      <c r="AF42" s="260"/>
      <c r="AG42" s="260"/>
      <c r="AH42" s="260"/>
      <c r="AI42" s="260"/>
      <c r="AJ42" s="260"/>
      <c r="AK42" s="260"/>
      <c r="AL42" s="260"/>
      <c r="AM42" s="260"/>
      <c r="AN42" s="260"/>
      <c r="AO42" s="260"/>
      <c r="AP42" s="260"/>
      <c r="AQ42" s="260">
        <f t="shared" si="10"/>
        <v>0</v>
      </c>
      <c r="AR42" s="261">
        <f t="shared" si="9"/>
        <v>0</v>
      </c>
      <c r="AS42" s="256">
        <f t="shared" si="1"/>
        <v>0</v>
      </c>
      <c r="AT42" s="256">
        <f t="shared" si="1"/>
        <v>0</v>
      </c>
      <c r="AU42" s="256">
        <f t="shared" si="2"/>
        <v>0</v>
      </c>
      <c r="AV42" s="6"/>
      <c r="AW42" s="256">
        <f>+'[4]Metas'!S42:S57-S42</f>
        <v>0</v>
      </c>
      <c r="AX42" s="256">
        <f>+'[4]Metas'!T42:T57-T42</f>
        <v>0</v>
      </c>
      <c r="AY42" s="256">
        <f>+'[4]Metas'!U42:U57-U42</f>
        <v>0</v>
      </c>
      <c r="AZ42" s="256">
        <f>+'[4]Metas'!V42:V57-V42</f>
        <v>0</v>
      </c>
      <c r="BA42" s="6"/>
      <c r="BB42" s="6"/>
      <c r="BC42" s="6"/>
      <c r="BD42" s="6"/>
      <c r="BE42" s="262"/>
      <c r="BF42" s="262"/>
      <c r="BG42" s="262"/>
      <c r="BH42" s="262"/>
      <c r="BI42" s="262"/>
      <c r="BJ42" s="262"/>
      <c r="BN42" s="6"/>
      <c r="BO42" s="6"/>
      <c r="BP42" s="6"/>
      <c r="BQ42" s="6"/>
      <c r="BR42" s="6"/>
      <c r="BS42" s="6"/>
      <c r="BT42" s="6"/>
      <c r="BU42" s="6"/>
      <c r="BV42" s="6"/>
      <c r="BW42" s="6"/>
      <c r="BX42" s="6"/>
      <c r="BY42" s="6"/>
      <c r="BZ42" s="6"/>
      <c r="CA42" s="6"/>
      <c r="CB42" s="6"/>
      <c r="CC42" s="6"/>
      <c r="CD42" s="6"/>
      <c r="CE42" s="6"/>
    </row>
    <row r="43" spans="1:83" s="258" customFormat="1" ht="15.75">
      <c r="A43" s="251"/>
      <c r="B43" s="251"/>
      <c r="C43" s="251"/>
      <c r="D43" s="251"/>
      <c r="E43" s="251"/>
      <c r="F43" s="251"/>
      <c r="G43" s="252"/>
      <c r="H43" s="394"/>
      <c r="I43" s="545"/>
      <c r="J43" s="400"/>
      <c r="K43" s="400"/>
      <c r="L43" s="400"/>
      <c r="M43" s="400"/>
      <c r="N43" s="545"/>
      <c r="O43" s="548"/>
      <c r="P43" s="551"/>
      <c r="Q43" s="533"/>
      <c r="R43" s="533"/>
      <c r="S43" s="533"/>
      <c r="T43" s="533"/>
      <c r="U43" s="533"/>
      <c r="V43" s="533"/>
      <c r="W43" s="554"/>
      <c r="X43" s="557"/>
      <c r="Y43" s="554"/>
      <c r="Z43" s="560"/>
      <c r="AA43" s="554"/>
      <c r="AB43" s="263" t="s">
        <v>223</v>
      </c>
      <c r="AC43" s="260"/>
      <c r="AD43" s="260"/>
      <c r="AE43" s="260"/>
      <c r="AF43" s="260"/>
      <c r="AG43" s="260"/>
      <c r="AH43" s="260"/>
      <c r="AI43" s="260"/>
      <c r="AJ43" s="260"/>
      <c r="AK43" s="260"/>
      <c r="AL43" s="260"/>
      <c r="AM43" s="260"/>
      <c r="AN43" s="260"/>
      <c r="AO43" s="260"/>
      <c r="AP43" s="260"/>
      <c r="AQ43" s="260">
        <f t="shared" si="10"/>
        <v>0</v>
      </c>
      <c r="AR43" s="261">
        <f t="shared" si="9"/>
        <v>0</v>
      </c>
      <c r="AS43" s="256">
        <f t="shared" si="1"/>
        <v>0</v>
      </c>
      <c r="AT43" s="256">
        <f t="shared" si="1"/>
        <v>0</v>
      </c>
      <c r="AU43" s="256">
        <f t="shared" si="2"/>
        <v>0</v>
      </c>
      <c r="AV43" s="6"/>
      <c r="AW43" s="256">
        <f>+'[4]Metas'!S43:S58-S43</f>
        <v>0</v>
      </c>
      <c r="AX43" s="256">
        <f>+'[4]Metas'!T43:T58-T43</f>
        <v>0</v>
      </c>
      <c r="AY43" s="256">
        <f>+'[4]Metas'!U43:U58-U43</f>
        <v>0</v>
      </c>
      <c r="AZ43" s="256">
        <f>+'[4]Metas'!V43:V58-V43</f>
        <v>0</v>
      </c>
      <c r="BA43" s="6"/>
      <c r="BB43" s="6"/>
      <c r="BC43" s="6"/>
      <c r="BD43" s="6"/>
      <c r="BE43" s="262"/>
      <c r="BF43" s="262"/>
      <c r="BG43" s="262"/>
      <c r="BH43" s="262"/>
      <c r="BI43" s="262"/>
      <c r="BJ43" s="262"/>
      <c r="BN43" s="6"/>
      <c r="BO43" s="6"/>
      <c r="BP43" s="6"/>
      <c r="BQ43" s="6"/>
      <c r="BR43" s="6"/>
      <c r="BS43" s="6"/>
      <c r="BT43" s="6"/>
      <c r="BU43" s="6"/>
      <c r="BV43" s="6"/>
      <c r="BW43" s="6"/>
      <c r="BX43" s="6"/>
      <c r="BY43" s="6"/>
      <c r="BZ43" s="6"/>
      <c r="CA43" s="6"/>
      <c r="CB43" s="6"/>
      <c r="CC43" s="6"/>
      <c r="CD43" s="6"/>
      <c r="CE43" s="6"/>
    </row>
    <row r="44" spans="1:83" s="258" customFormat="1" ht="15.75">
      <c r="A44" s="251"/>
      <c r="B44" s="251"/>
      <c r="C44" s="251"/>
      <c r="D44" s="251"/>
      <c r="E44" s="251"/>
      <c r="F44" s="251"/>
      <c r="G44" s="252"/>
      <c r="H44" s="394"/>
      <c r="I44" s="545"/>
      <c r="J44" s="400"/>
      <c r="K44" s="400"/>
      <c r="L44" s="400"/>
      <c r="M44" s="400"/>
      <c r="N44" s="545"/>
      <c r="O44" s="548"/>
      <c r="P44" s="551"/>
      <c r="Q44" s="533"/>
      <c r="R44" s="533"/>
      <c r="S44" s="533"/>
      <c r="T44" s="533"/>
      <c r="U44" s="533"/>
      <c r="V44" s="533"/>
      <c r="W44" s="554"/>
      <c r="X44" s="557"/>
      <c r="Y44" s="554"/>
      <c r="Z44" s="560"/>
      <c r="AA44" s="554"/>
      <c r="AB44" s="263" t="s">
        <v>224</v>
      </c>
      <c r="AC44" s="260"/>
      <c r="AD44" s="260"/>
      <c r="AE44" s="260"/>
      <c r="AF44" s="260"/>
      <c r="AG44" s="260"/>
      <c r="AH44" s="260"/>
      <c r="AI44" s="260"/>
      <c r="AJ44" s="260"/>
      <c r="AK44" s="260"/>
      <c r="AL44" s="260"/>
      <c r="AM44" s="260"/>
      <c r="AN44" s="260"/>
      <c r="AO44" s="260"/>
      <c r="AP44" s="260"/>
      <c r="AQ44" s="260">
        <f t="shared" si="10"/>
        <v>0</v>
      </c>
      <c r="AR44" s="261">
        <f t="shared" si="9"/>
        <v>0</v>
      </c>
      <c r="AS44" s="256">
        <f t="shared" si="1"/>
        <v>0</v>
      </c>
      <c r="AT44" s="256">
        <f t="shared" si="1"/>
        <v>0</v>
      </c>
      <c r="AU44" s="256">
        <f t="shared" si="2"/>
        <v>0</v>
      </c>
      <c r="AV44" s="6"/>
      <c r="AW44" s="256">
        <f>+'[4]Metas'!S44:S59-S44</f>
        <v>0</v>
      </c>
      <c r="AX44" s="256">
        <f>+'[4]Metas'!T44:T59-T44</f>
        <v>0</v>
      </c>
      <c r="AY44" s="256">
        <f>+'[4]Metas'!U44:U59-U44</f>
        <v>0</v>
      </c>
      <c r="AZ44" s="256">
        <f>+'[4]Metas'!V44:V59-V44</f>
        <v>0</v>
      </c>
      <c r="BA44" s="6"/>
      <c r="BB44" s="6"/>
      <c r="BC44" s="6"/>
      <c r="BD44" s="6"/>
      <c r="BE44" s="262"/>
      <c r="BF44" s="262"/>
      <c r="BG44" s="262"/>
      <c r="BH44" s="262"/>
      <c r="BI44" s="262"/>
      <c r="BJ44" s="262"/>
      <c r="BN44" s="6"/>
      <c r="BO44" s="6"/>
      <c r="BP44" s="6"/>
      <c r="BQ44" s="6"/>
      <c r="BR44" s="6"/>
      <c r="BS44" s="6"/>
      <c r="BT44" s="6"/>
      <c r="BU44" s="6"/>
      <c r="BV44" s="6"/>
      <c r="BW44" s="6"/>
      <c r="BX44" s="6"/>
      <c r="BY44" s="6"/>
      <c r="BZ44" s="6"/>
      <c r="CA44" s="6"/>
      <c r="CB44" s="6"/>
      <c r="CC44" s="6"/>
      <c r="CD44" s="6"/>
      <c r="CE44" s="6"/>
    </row>
    <row r="45" spans="1:83" s="258" customFormat="1" ht="15.75">
      <c r="A45" s="251"/>
      <c r="B45" s="251"/>
      <c r="C45" s="251"/>
      <c r="D45" s="251"/>
      <c r="E45" s="251"/>
      <c r="F45" s="251"/>
      <c r="G45" s="252"/>
      <c r="H45" s="394"/>
      <c r="I45" s="545"/>
      <c r="J45" s="400"/>
      <c r="K45" s="400"/>
      <c r="L45" s="400"/>
      <c r="M45" s="400"/>
      <c r="N45" s="545"/>
      <c r="O45" s="548"/>
      <c r="P45" s="551"/>
      <c r="Q45" s="533"/>
      <c r="R45" s="533"/>
      <c r="S45" s="533"/>
      <c r="T45" s="533"/>
      <c r="U45" s="533"/>
      <c r="V45" s="533"/>
      <c r="W45" s="554"/>
      <c r="X45" s="557"/>
      <c r="Y45" s="554"/>
      <c r="Z45" s="560"/>
      <c r="AA45" s="554"/>
      <c r="AB45" s="263" t="s">
        <v>225</v>
      </c>
      <c r="AC45" s="260"/>
      <c r="AD45" s="260"/>
      <c r="AE45" s="260"/>
      <c r="AF45" s="260"/>
      <c r="AG45" s="260"/>
      <c r="AH45" s="260"/>
      <c r="AI45" s="260"/>
      <c r="AJ45" s="260"/>
      <c r="AK45" s="260"/>
      <c r="AL45" s="260"/>
      <c r="AM45" s="260"/>
      <c r="AN45" s="260"/>
      <c r="AO45" s="260"/>
      <c r="AP45" s="260"/>
      <c r="AQ45" s="260">
        <f t="shared" si="10"/>
        <v>0</v>
      </c>
      <c r="AR45" s="261">
        <f t="shared" si="9"/>
        <v>0</v>
      </c>
      <c r="AS45" s="256">
        <f t="shared" si="1"/>
        <v>0</v>
      </c>
      <c r="AT45" s="256">
        <f t="shared" si="1"/>
        <v>0</v>
      </c>
      <c r="AU45" s="256">
        <f t="shared" si="2"/>
        <v>0</v>
      </c>
      <c r="AV45" s="6"/>
      <c r="AW45" s="256">
        <f>+'[4]Metas'!S45:S60-S45</f>
        <v>0</v>
      </c>
      <c r="AX45" s="256">
        <f>+'[4]Metas'!T45:T60-T45</f>
        <v>0</v>
      </c>
      <c r="AY45" s="256">
        <f>+'[4]Metas'!U45:U60-U45</f>
        <v>0</v>
      </c>
      <c r="AZ45" s="256">
        <f>+'[4]Metas'!V45:V60-V45</f>
        <v>0</v>
      </c>
      <c r="BA45" s="6"/>
      <c r="BB45" s="6"/>
      <c r="BC45" s="6"/>
      <c r="BD45" s="6"/>
      <c r="BE45" s="262"/>
      <c r="BF45" s="262"/>
      <c r="BG45" s="262"/>
      <c r="BH45" s="262"/>
      <c r="BI45" s="262"/>
      <c r="BJ45" s="262"/>
      <c r="BN45" s="6"/>
      <c r="BO45" s="6"/>
      <c r="BP45" s="6"/>
      <c r="BQ45" s="6"/>
      <c r="BR45" s="6"/>
      <c r="BS45" s="6"/>
      <c r="BT45" s="6"/>
      <c r="BU45" s="6"/>
      <c r="BV45" s="6"/>
      <c r="BW45" s="6"/>
      <c r="BX45" s="6"/>
      <c r="BY45" s="6"/>
      <c r="BZ45" s="6"/>
      <c r="CA45" s="6"/>
      <c r="CB45" s="6"/>
      <c r="CC45" s="6"/>
      <c r="CD45" s="6"/>
      <c r="CE45" s="6"/>
    </row>
    <row r="46" spans="1:83" s="258" customFormat="1" ht="15.75">
      <c r="A46" s="251"/>
      <c r="B46" s="251"/>
      <c r="C46" s="251"/>
      <c r="D46" s="251"/>
      <c r="E46" s="251"/>
      <c r="F46" s="251"/>
      <c r="G46" s="252"/>
      <c r="H46" s="394"/>
      <c r="I46" s="545"/>
      <c r="J46" s="400"/>
      <c r="K46" s="400"/>
      <c r="L46" s="400"/>
      <c r="M46" s="400"/>
      <c r="N46" s="545"/>
      <c r="O46" s="548"/>
      <c r="P46" s="551"/>
      <c r="Q46" s="533"/>
      <c r="R46" s="533"/>
      <c r="S46" s="533"/>
      <c r="T46" s="533"/>
      <c r="U46" s="533"/>
      <c r="V46" s="533"/>
      <c r="W46" s="554"/>
      <c r="X46" s="557"/>
      <c r="Y46" s="554"/>
      <c r="Z46" s="560"/>
      <c r="AA46" s="554"/>
      <c r="AB46" s="264" t="s">
        <v>226</v>
      </c>
      <c r="AC46" s="265">
        <f aca="true" t="shared" si="11" ref="AC46:AR46">SUM(AC40:AC45)+IF(AC38=0,AC39,AC38)</f>
        <v>0</v>
      </c>
      <c r="AD46" s="265">
        <f t="shared" si="11"/>
        <v>0</v>
      </c>
      <c r="AE46" s="265">
        <f t="shared" si="11"/>
        <v>0</v>
      </c>
      <c r="AF46" s="265">
        <f t="shared" si="11"/>
        <v>0</v>
      </c>
      <c r="AG46" s="265">
        <f t="shared" si="11"/>
        <v>0</v>
      </c>
      <c r="AH46" s="265">
        <f t="shared" si="11"/>
        <v>0</v>
      </c>
      <c r="AI46" s="265">
        <f t="shared" si="11"/>
        <v>0</v>
      </c>
      <c r="AJ46" s="265">
        <f t="shared" si="11"/>
        <v>0</v>
      </c>
      <c r="AK46" s="265">
        <f t="shared" si="11"/>
        <v>0</v>
      </c>
      <c r="AL46" s="265">
        <f t="shared" si="11"/>
        <v>0</v>
      </c>
      <c r="AM46" s="265">
        <f t="shared" si="11"/>
        <v>0</v>
      </c>
      <c r="AN46" s="265">
        <f t="shared" si="11"/>
        <v>0</v>
      </c>
      <c r="AO46" s="265">
        <f t="shared" si="11"/>
        <v>0</v>
      </c>
      <c r="AP46" s="265">
        <f t="shared" si="11"/>
        <v>0</v>
      </c>
      <c r="AQ46" s="265">
        <f t="shared" si="11"/>
        <v>0</v>
      </c>
      <c r="AR46" s="266">
        <f t="shared" si="11"/>
        <v>0</v>
      </c>
      <c r="AS46" s="256">
        <f t="shared" si="1"/>
        <v>0</v>
      </c>
      <c r="AT46" s="256">
        <f t="shared" si="1"/>
        <v>0</v>
      </c>
      <c r="AU46" s="256">
        <f t="shared" si="2"/>
        <v>0</v>
      </c>
      <c r="AV46" s="6"/>
      <c r="AW46" s="256">
        <f>+'[4]Metas'!S46:S61-S46</f>
        <v>0</v>
      </c>
      <c r="AX46" s="256">
        <f>+'[4]Metas'!T46:T61-T46</f>
        <v>0</v>
      </c>
      <c r="AY46" s="256">
        <f>+'[4]Metas'!U46:U61-U46</f>
        <v>0</v>
      </c>
      <c r="AZ46" s="256">
        <f>+'[4]Metas'!V46:V61-V46</f>
        <v>0</v>
      </c>
      <c r="BA46" s="6"/>
      <c r="BB46" s="6"/>
      <c r="BC46" s="6"/>
      <c r="BD46" s="6"/>
      <c r="BE46" s="262"/>
      <c r="BF46" s="262"/>
      <c r="BG46" s="262"/>
      <c r="BH46" s="262"/>
      <c r="BI46" s="262"/>
      <c r="BJ46" s="262"/>
      <c r="BN46" s="6"/>
      <c r="BO46" s="6"/>
      <c r="BP46" s="6"/>
      <c r="BQ46" s="6"/>
      <c r="BR46" s="6"/>
      <c r="BS46" s="6"/>
      <c r="BT46" s="6"/>
      <c r="BU46" s="6"/>
      <c r="BV46" s="6"/>
      <c r="BW46" s="6"/>
      <c r="BX46" s="6"/>
      <c r="BY46" s="6"/>
      <c r="BZ46" s="6"/>
      <c r="CA46" s="6"/>
      <c r="CB46" s="6"/>
      <c r="CC46" s="6"/>
      <c r="CD46" s="6"/>
      <c r="CE46" s="6"/>
    </row>
    <row r="47" spans="1:83" s="258" customFormat="1" ht="16.5" thickBot="1">
      <c r="A47" s="251"/>
      <c r="B47" s="251"/>
      <c r="C47" s="251"/>
      <c r="D47" s="251"/>
      <c r="E47" s="251"/>
      <c r="F47" s="251"/>
      <c r="G47" s="252"/>
      <c r="H47" s="395"/>
      <c r="I47" s="546"/>
      <c r="J47" s="401"/>
      <c r="K47" s="401"/>
      <c r="L47" s="401"/>
      <c r="M47" s="401"/>
      <c r="N47" s="546"/>
      <c r="O47" s="549"/>
      <c r="P47" s="552"/>
      <c r="Q47" s="534"/>
      <c r="R47" s="534"/>
      <c r="S47" s="534"/>
      <c r="T47" s="534"/>
      <c r="U47" s="534"/>
      <c r="V47" s="534"/>
      <c r="W47" s="555"/>
      <c r="X47" s="558"/>
      <c r="Y47" s="555"/>
      <c r="Z47" s="561"/>
      <c r="AA47" s="555"/>
      <c r="AB47" s="267" t="s">
        <v>227</v>
      </c>
      <c r="AC47" s="268"/>
      <c r="AD47" s="268"/>
      <c r="AE47" s="268"/>
      <c r="AF47" s="268"/>
      <c r="AG47" s="268"/>
      <c r="AH47" s="268"/>
      <c r="AI47" s="268"/>
      <c r="AJ47" s="268"/>
      <c r="AK47" s="268"/>
      <c r="AL47" s="268"/>
      <c r="AM47" s="268"/>
      <c r="AN47" s="268"/>
      <c r="AO47" s="268"/>
      <c r="AP47" s="268"/>
      <c r="AQ47" s="268">
        <f aca="true" t="shared" si="12" ref="AQ47:AR53">+AC47+AE47+AG47+AI47+AK47+AM47+AO47</f>
        <v>0</v>
      </c>
      <c r="AR47" s="269">
        <f t="shared" si="12"/>
        <v>0</v>
      </c>
      <c r="AS47" s="256">
        <f t="shared" si="1"/>
        <v>0</v>
      </c>
      <c r="AT47" s="256">
        <f t="shared" si="1"/>
        <v>0</v>
      </c>
      <c r="AU47" s="256">
        <f t="shared" si="2"/>
        <v>0</v>
      </c>
      <c r="AV47" s="6"/>
      <c r="AW47" s="256">
        <f>+'[4]Metas'!S47:S62-S47</f>
        <v>0</v>
      </c>
      <c r="AX47" s="256">
        <f>+'[4]Metas'!T47:T62-T47</f>
        <v>0</v>
      </c>
      <c r="AY47" s="256">
        <f>+'[4]Metas'!U47:U62-U47</f>
        <v>0</v>
      </c>
      <c r="AZ47" s="256">
        <f>+'[4]Metas'!V47:V62-V47</f>
        <v>0</v>
      </c>
      <c r="BA47" s="6"/>
      <c r="BB47" s="6"/>
      <c r="BC47" s="6"/>
      <c r="BD47" s="6"/>
      <c r="BE47" s="262"/>
      <c r="BF47" s="262"/>
      <c r="BG47" s="262"/>
      <c r="BH47" s="262"/>
      <c r="BI47" s="262"/>
      <c r="BJ47" s="262"/>
      <c r="BN47" s="6"/>
      <c r="BO47" s="6"/>
      <c r="BP47" s="6"/>
      <c r="BQ47" s="6"/>
      <c r="BR47" s="6"/>
      <c r="BS47" s="6"/>
      <c r="BT47" s="6"/>
      <c r="BU47" s="6"/>
      <c r="BV47" s="6"/>
      <c r="BW47" s="6"/>
      <c r="BX47" s="6"/>
      <c r="BY47" s="6"/>
      <c r="BZ47" s="6"/>
      <c r="CA47" s="6"/>
      <c r="CB47" s="6"/>
      <c r="CC47" s="6"/>
      <c r="CD47" s="6"/>
      <c r="CE47" s="6"/>
    </row>
    <row r="48" spans="1:83" s="258" customFormat="1" ht="20.25" customHeight="1">
      <c r="A48" s="251" t="s">
        <v>263</v>
      </c>
      <c r="B48" s="251" t="s">
        <v>264</v>
      </c>
      <c r="C48" s="251" t="s">
        <v>202</v>
      </c>
      <c r="D48" s="251" t="s">
        <v>203</v>
      </c>
      <c r="E48" s="251" t="s">
        <v>204</v>
      </c>
      <c r="F48" s="251" t="s">
        <v>265</v>
      </c>
      <c r="G48" s="252">
        <v>7</v>
      </c>
      <c r="H48" s="393">
        <v>879</v>
      </c>
      <c r="I48" s="544" t="s">
        <v>266</v>
      </c>
      <c r="J48" s="399"/>
      <c r="K48" s="399" t="s">
        <v>26</v>
      </c>
      <c r="L48" s="270"/>
      <c r="M48" s="399">
        <v>0</v>
      </c>
      <c r="N48" s="544" t="s">
        <v>267</v>
      </c>
      <c r="O48" s="547">
        <v>0.45</v>
      </c>
      <c r="P48" s="550">
        <v>0.12</v>
      </c>
      <c r="Q48" s="532">
        <f>SUMIF('Actividades inversión 879'!$B$13:$B$17,'Metas inversión 879'!$B48,'Actividades inversión 879'!M$13:M$17)</f>
        <v>0</v>
      </c>
      <c r="R48" s="532">
        <f>SUMIF('Actividades inversión 879'!$B$13:$B$17,'Metas inversión 879'!$B48,'Actividades inversión 879'!N$13:N$17)</f>
        <v>0</v>
      </c>
      <c r="S48" s="532">
        <f>SUMIF('Actividades inversión 879'!$B$13:$B$17,'Metas inversión 879'!$B48,'Actividades inversión 879'!O$13:O$17)</f>
        <v>0</v>
      </c>
      <c r="T48" s="532">
        <f>SUMIF('Actividades inversión 879'!$B$13:$B$17,'Metas inversión 879'!$B48,'Actividades inversión 879'!P$13:P$17)</f>
        <v>0</v>
      </c>
      <c r="U48" s="532">
        <f>SUMIF('Actividades inversión 879'!$B$13:$B$17,'Metas inversión 879'!$B48,'Actividades inversión 879'!Q$13:Q$17)</f>
        <v>0</v>
      </c>
      <c r="V48" s="532">
        <f>SUMIF('Actividades inversión 879'!$B$13:$B$17,'Metas inversión 879'!$B48,'Actividades inversión 879'!R$13:R$17)</f>
        <v>0</v>
      </c>
      <c r="W48" s="553" t="s">
        <v>254</v>
      </c>
      <c r="X48" s="556" t="s">
        <v>255</v>
      </c>
      <c r="Y48" s="553" t="s">
        <v>256</v>
      </c>
      <c r="Z48" s="559" t="s">
        <v>257</v>
      </c>
      <c r="AA48" s="553" t="s">
        <v>258</v>
      </c>
      <c r="AB48" s="253" t="s">
        <v>212</v>
      </c>
      <c r="AC48" s="254"/>
      <c r="AD48" s="254"/>
      <c r="AE48" s="254"/>
      <c r="AF48" s="254"/>
      <c r="AG48" s="254"/>
      <c r="AH48" s="254"/>
      <c r="AI48" s="254"/>
      <c r="AJ48" s="254"/>
      <c r="AK48" s="254"/>
      <c r="AL48" s="254"/>
      <c r="AM48" s="254"/>
      <c r="AN48" s="254"/>
      <c r="AO48" s="254"/>
      <c r="AP48" s="254"/>
      <c r="AQ48" s="254">
        <f t="shared" si="12"/>
        <v>0</v>
      </c>
      <c r="AR48" s="255">
        <f t="shared" si="12"/>
        <v>0</v>
      </c>
      <c r="AS48" s="256">
        <f t="shared" si="1"/>
        <v>0</v>
      </c>
      <c r="AT48" s="256">
        <f t="shared" si="1"/>
        <v>0</v>
      </c>
      <c r="AU48" s="256">
        <f t="shared" si="2"/>
        <v>0</v>
      </c>
      <c r="AV48" s="6"/>
      <c r="AW48" s="256">
        <f>+'[4]Metas'!S48:S63-S48</f>
        <v>0</v>
      </c>
      <c r="AX48" s="256">
        <f>+'[4]Metas'!T48:T63-T48</f>
        <v>0</v>
      </c>
      <c r="AY48" s="256">
        <f>+'[4]Metas'!U48:U63-U48</f>
        <v>0</v>
      </c>
      <c r="AZ48" s="256">
        <f>+'[4]Metas'!V48:V63-V48</f>
        <v>0</v>
      </c>
      <c r="BA48" s="6"/>
      <c r="BB48" s="6"/>
      <c r="BC48" s="6"/>
      <c r="BD48" s="6"/>
      <c r="BE48" s="257">
        <f>SUM('[5]99-METROPOLITANO'!N46)</f>
        <v>0</v>
      </c>
      <c r="BF48" s="257">
        <f>SUM('[5]99-METROPOLITANO'!O46)</f>
        <v>0</v>
      </c>
      <c r="BG48" s="257">
        <f>SUM('[5]99-METROPOLITANO'!P46)</f>
        <v>0</v>
      </c>
      <c r="BH48" s="257">
        <f>SUM('[5]99-METROPOLITANO'!Q46)</f>
        <v>0</v>
      </c>
      <c r="BI48" s="257">
        <f>SUM('[5]99-METROPOLITANO'!R46)</f>
        <v>0</v>
      </c>
      <c r="BJ48" s="257">
        <f>SUM('[5]99-METROPOLITANO'!S46)</f>
        <v>0</v>
      </c>
      <c r="BN48" s="6"/>
      <c r="BO48" s="6"/>
      <c r="BP48" s="6"/>
      <c r="BQ48" s="6"/>
      <c r="BR48" s="6"/>
      <c r="BS48" s="6"/>
      <c r="BT48" s="6"/>
      <c r="BU48" s="6"/>
      <c r="BV48" s="6"/>
      <c r="BW48" s="6"/>
      <c r="BX48" s="6"/>
      <c r="BY48" s="6"/>
      <c r="BZ48" s="6"/>
      <c r="CA48" s="6"/>
      <c r="CB48" s="6"/>
      <c r="CC48" s="6"/>
      <c r="CD48" s="6"/>
      <c r="CE48" s="6"/>
    </row>
    <row r="49" spans="1:83" s="258" customFormat="1" ht="15.75">
      <c r="A49" s="251"/>
      <c r="B49" s="251"/>
      <c r="C49" s="251"/>
      <c r="D49" s="251"/>
      <c r="E49" s="251"/>
      <c r="F49" s="251"/>
      <c r="G49" s="252"/>
      <c r="H49" s="394"/>
      <c r="I49" s="545"/>
      <c r="J49" s="400"/>
      <c r="K49" s="400"/>
      <c r="L49" s="271"/>
      <c r="M49" s="400"/>
      <c r="N49" s="545"/>
      <c r="O49" s="548"/>
      <c r="P49" s="551"/>
      <c r="Q49" s="533"/>
      <c r="R49" s="533"/>
      <c r="S49" s="533"/>
      <c r="T49" s="533"/>
      <c r="U49" s="533"/>
      <c r="V49" s="533"/>
      <c r="W49" s="554"/>
      <c r="X49" s="557"/>
      <c r="Y49" s="554"/>
      <c r="Z49" s="560"/>
      <c r="AA49" s="554"/>
      <c r="AB49" s="259" t="s">
        <v>213</v>
      </c>
      <c r="AC49" s="260"/>
      <c r="AD49" s="260"/>
      <c r="AE49" s="260"/>
      <c r="AF49" s="260"/>
      <c r="AG49" s="260"/>
      <c r="AH49" s="260"/>
      <c r="AI49" s="260"/>
      <c r="AJ49" s="260"/>
      <c r="AK49" s="260"/>
      <c r="AL49" s="260"/>
      <c r="AM49" s="260"/>
      <c r="AN49" s="260"/>
      <c r="AO49" s="260"/>
      <c r="AP49" s="260"/>
      <c r="AQ49" s="260">
        <f t="shared" si="12"/>
        <v>0</v>
      </c>
      <c r="AR49" s="261">
        <f t="shared" si="12"/>
        <v>0</v>
      </c>
      <c r="AS49" s="256">
        <f t="shared" si="1"/>
        <v>0</v>
      </c>
      <c r="AT49" s="256">
        <f t="shared" si="1"/>
        <v>0</v>
      </c>
      <c r="AU49" s="256">
        <f t="shared" si="2"/>
        <v>0</v>
      </c>
      <c r="AV49" s="6"/>
      <c r="AW49" s="256">
        <f>+'[4]Metas'!S49:S64-S49</f>
        <v>0</v>
      </c>
      <c r="AX49" s="256">
        <f>+'[4]Metas'!T49:T64-T49</f>
        <v>0</v>
      </c>
      <c r="AY49" s="256">
        <f>+'[4]Metas'!U49:U64-U49</f>
        <v>0</v>
      </c>
      <c r="AZ49" s="256">
        <f>+'[4]Metas'!V49:V64-V49</f>
        <v>0</v>
      </c>
      <c r="BA49" s="6"/>
      <c r="BB49" s="6"/>
      <c r="BC49" s="6"/>
      <c r="BD49" s="6"/>
      <c r="BE49" s="262"/>
      <c r="BF49" s="262"/>
      <c r="BG49" s="262"/>
      <c r="BH49" s="262"/>
      <c r="BI49" s="262"/>
      <c r="BJ49" s="262"/>
      <c r="BN49" s="6"/>
      <c r="BO49" s="6"/>
      <c r="BP49" s="6"/>
      <c r="BQ49" s="6"/>
      <c r="BR49" s="6"/>
      <c r="BS49" s="6"/>
      <c r="BT49" s="6"/>
      <c r="BU49" s="6"/>
      <c r="BV49" s="6"/>
      <c r="BW49" s="6"/>
      <c r="BX49" s="6"/>
      <c r="BY49" s="6"/>
      <c r="BZ49" s="6"/>
      <c r="CA49" s="6"/>
      <c r="CB49" s="6"/>
      <c r="CC49" s="6"/>
      <c r="CD49" s="6"/>
      <c r="CE49" s="6"/>
    </row>
    <row r="50" spans="1:83" s="258" customFormat="1" ht="15.75">
      <c r="A50" s="251"/>
      <c r="B50" s="251"/>
      <c r="C50" s="251"/>
      <c r="D50" s="251"/>
      <c r="E50" s="251"/>
      <c r="F50" s="251"/>
      <c r="G50" s="252"/>
      <c r="H50" s="394"/>
      <c r="I50" s="545"/>
      <c r="J50" s="400"/>
      <c r="K50" s="400"/>
      <c r="L50" s="271"/>
      <c r="M50" s="400"/>
      <c r="N50" s="545"/>
      <c r="O50" s="548"/>
      <c r="P50" s="551"/>
      <c r="Q50" s="533"/>
      <c r="R50" s="533"/>
      <c r="S50" s="533"/>
      <c r="T50" s="533"/>
      <c r="U50" s="533"/>
      <c r="V50" s="533"/>
      <c r="W50" s="554"/>
      <c r="X50" s="557"/>
      <c r="Y50" s="554"/>
      <c r="Z50" s="560"/>
      <c r="AA50" s="554"/>
      <c r="AB50" s="259" t="s">
        <v>214</v>
      </c>
      <c r="AC50" s="260"/>
      <c r="AD50" s="260"/>
      <c r="AE50" s="260"/>
      <c r="AF50" s="260"/>
      <c r="AG50" s="260"/>
      <c r="AH50" s="260"/>
      <c r="AI50" s="260"/>
      <c r="AJ50" s="260"/>
      <c r="AK50" s="260"/>
      <c r="AL50" s="260"/>
      <c r="AM50" s="260"/>
      <c r="AN50" s="260"/>
      <c r="AO50" s="260"/>
      <c r="AP50" s="260"/>
      <c r="AQ50" s="260">
        <f t="shared" si="12"/>
        <v>0</v>
      </c>
      <c r="AR50" s="261">
        <f t="shared" si="12"/>
        <v>0</v>
      </c>
      <c r="AS50" s="256">
        <f t="shared" si="1"/>
        <v>0</v>
      </c>
      <c r="AT50" s="256">
        <f t="shared" si="1"/>
        <v>0</v>
      </c>
      <c r="AU50" s="256">
        <f t="shared" si="2"/>
        <v>0</v>
      </c>
      <c r="AV50" s="6"/>
      <c r="AW50" s="256">
        <f>+'[4]Metas'!S50:S65-S50</f>
        <v>0</v>
      </c>
      <c r="AX50" s="256">
        <f>+'[4]Metas'!T50:T65-T50</f>
        <v>0</v>
      </c>
      <c r="AY50" s="256">
        <f>+'[4]Metas'!U50:U65-U50</f>
        <v>0</v>
      </c>
      <c r="AZ50" s="256">
        <f>+'[4]Metas'!V50:V65-V50</f>
        <v>0</v>
      </c>
      <c r="BA50" s="6"/>
      <c r="BB50" s="6"/>
      <c r="BC50" s="6"/>
      <c r="BD50" s="6"/>
      <c r="BE50" s="262"/>
      <c r="BF50" s="262"/>
      <c r="BG50" s="262"/>
      <c r="BH50" s="262"/>
      <c r="BI50" s="262"/>
      <c r="BJ50" s="262"/>
      <c r="BN50" s="6"/>
      <c r="BO50" s="6"/>
      <c r="BP50" s="6"/>
      <c r="BQ50" s="6"/>
      <c r="BR50" s="6"/>
      <c r="BS50" s="6"/>
      <c r="BT50" s="6"/>
      <c r="BU50" s="6"/>
      <c r="BV50" s="6"/>
      <c r="BW50" s="6"/>
      <c r="BX50" s="6"/>
      <c r="BY50" s="6"/>
      <c r="BZ50" s="6"/>
      <c r="CA50" s="6"/>
      <c r="CB50" s="6"/>
      <c r="CC50" s="6"/>
      <c r="CD50" s="6"/>
      <c r="CE50" s="6"/>
    </row>
    <row r="51" spans="1:83" s="258" customFormat="1" ht="15.75">
      <c r="A51" s="251"/>
      <c r="B51" s="251"/>
      <c r="C51" s="251"/>
      <c r="D51" s="251"/>
      <c r="E51" s="251"/>
      <c r="F51" s="251"/>
      <c r="G51" s="252"/>
      <c r="H51" s="394"/>
      <c r="I51" s="545"/>
      <c r="J51" s="400"/>
      <c r="K51" s="400"/>
      <c r="L51" s="271"/>
      <c r="M51" s="400"/>
      <c r="N51" s="545"/>
      <c r="O51" s="548"/>
      <c r="P51" s="551"/>
      <c r="Q51" s="533"/>
      <c r="R51" s="533"/>
      <c r="S51" s="533"/>
      <c r="T51" s="533"/>
      <c r="U51" s="533"/>
      <c r="V51" s="533"/>
      <c r="W51" s="554"/>
      <c r="X51" s="557"/>
      <c r="Y51" s="554"/>
      <c r="Z51" s="560"/>
      <c r="AA51" s="554"/>
      <c r="AB51" s="259" t="s">
        <v>215</v>
      </c>
      <c r="AC51" s="260"/>
      <c r="AD51" s="260"/>
      <c r="AE51" s="260"/>
      <c r="AF51" s="260"/>
      <c r="AG51" s="260"/>
      <c r="AH51" s="260"/>
      <c r="AI51" s="260"/>
      <c r="AJ51" s="260"/>
      <c r="AK51" s="260"/>
      <c r="AL51" s="260"/>
      <c r="AM51" s="260"/>
      <c r="AN51" s="260"/>
      <c r="AO51" s="260"/>
      <c r="AP51" s="260"/>
      <c r="AQ51" s="260">
        <f t="shared" si="12"/>
        <v>0</v>
      </c>
      <c r="AR51" s="261">
        <f t="shared" si="12"/>
        <v>0</v>
      </c>
      <c r="AS51" s="256">
        <f t="shared" si="1"/>
        <v>0</v>
      </c>
      <c r="AT51" s="256">
        <f t="shared" si="1"/>
        <v>0</v>
      </c>
      <c r="AU51" s="256">
        <f t="shared" si="2"/>
        <v>0</v>
      </c>
      <c r="AV51" s="6"/>
      <c r="AW51" s="256">
        <f>+'[4]Metas'!S51:S66-S51</f>
        <v>0</v>
      </c>
      <c r="AX51" s="256">
        <f>+'[4]Metas'!T51:T66-T51</f>
        <v>0</v>
      </c>
      <c r="AY51" s="256">
        <f>+'[4]Metas'!U51:U66-U51</f>
        <v>0</v>
      </c>
      <c r="AZ51" s="256">
        <f>+'[4]Metas'!V51:V66-V51</f>
        <v>0</v>
      </c>
      <c r="BA51" s="6"/>
      <c r="BB51" s="6"/>
      <c r="BC51" s="6"/>
      <c r="BD51" s="6"/>
      <c r="BE51" s="262"/>
      <c r="BF51" s="262"/>
      <c r="BG51" s="262"/>
      <c r="BH51" s="262"/>
      <c r="BI51" s="262"/>
      <c r="BJ51" s="262"/>
      <c r="BN51" s="6"/>
      <c r="BO51" s="6"/>
      <c r="BP51" s="6"/>
      <c r="BQ51" s="6"/>
      <c r="BR51" s="6"/>
      <c r="BS51" s="6"/>
      <c r="BT51" s="6"/>
      <c r="BU51" s="6"/>
      <c r="BV51" s="6"/>
      <c r="BW51" s="6"/>
      <c r="BX51" s="6"/>
      <c r="BY51" s="6"/>
      <c r="BZ51" s="6"/>
      <c r="CA51" s="6"/>
      <c r="CB51" s="6"/>
      <c r="CC51" s="6"/>
      <c r="CD51" s="6"/>
      <c r="CE51" s="6"/>
    </row>
    <row r="52" spans="1:83" s="258" customFormat="1" ht="15.75">
      <c r="A52" s="251"/>
      <c r="B52" s="251"/>
      <c r="C52" s="251"/>
      <c r="D52" s="251"/>
      <c r="E52" s="251"/>
      <c r="F52" s="251"/>
      <c r="G52" s="252"/>
      <c r="H52" s="394"/>
      <c r="I52" s="545"/>
      <c r="J52" s="400"/>
      <c r="K52" s="400"/>
      <c r="L52" s="271"/>
      <c r="M52" s="400"/>
      <c r="N52" s="545"/>
      <c r="O52" s="548"/>
      <c r="P52" s="551"/>
      <c r="Q52" s="533"/>
      <c r="R52" s="533"/>
      <c r="S52" s="533"/>
      <c r="T52" s="533"/>
      <c r="U52" s="533"/>
      <c r="V52" s="533"/>
      <c r="W52" s="554"/>
      <c r="X52" s="557"/>
      <c r="Y52" s="554"/>
      <c r="Z52" s="560"/>
      <c r="AA52" s="554"/>
      <c r="AB52" s="259" t="s">
        <v>216</v>
      </c>
      <c r="AC52" s="260"/>
      <c r="AD52" s="260"/>
      <c r="AE52" s="260"/>
      <c r="AF52" s="260"/>
      <c r="AG52" s="260"/>
      <c r="AH52" s="260"/>
      <c r="AI52" s="260"/>
      <c r="AJ52" s="260"/>
      <c r="AK52" s="260"/>
      <c r="AL52" s="260"/>
      <c r="AM52" s="260"/>
      <c r="AN52" s="260"/>
      <c r="AO52" s="260"/>
      <c r="AP52" s="260"/>
      <c r="AQ52" s="260">
        <f t="shared" si="12"/>
        <v>0</v>
      </c>
      <c r="AR52" s="261">
        <f t="shared" si="12"/>
        <v>0</v>
      </c>
      <c r="AS52" s="256">
        <f t="shared" si="1"/>
        <v>0</v>
      </c>
      <c r="AT52" s="256">
        <f t="shared" si="1"/>
        <v>0</v>
      </c>
      <c r="AU52" s="256">
        <f t="shared" si="2"/>
        <v>0</v>
      </c>
      <c r="AV52" s="6"/>
      <c r="AW52" s="256">
        <f>+'[4]Metas'!S52:S67-S52</f>
        <v>0</v>
      </c>
      <c r="AX52" s="256">
        <f>+'[4]Metas'!T52:T67-T52</f>
        <v>0</v>
      </c>
      <c r="AY52" s="256">
        <f>+'[4]Metas'!U52:U67-U52</f>
        <v>0</v>
      </c>
      <c r="AZ52" s="256">
        <f>+'[4]Metas'!V52:V67-V52</f>
        <v>0</v>
      </c>
      <c r="BA52" s="6"/>
      <c r="BB52" s="6"/>
      <c r="BC52" s="6"/>
      <c r="BD52" s="6"/>
      <c r="BE52" s="262"/>
      <c r="BF52" s="262"/>
      <c r="BG52" s="262"/>
      <c r="BH52" s="262"/>
      <c r="BI52" s="262"/>
      <c r="BJ52" s="262"/>
      <c r="BN52" s="6"/>
      <c r="BO52" s="6"/>
      <c r="BP52" s="6"/>
      <c r="BQ52" s="6"/>
      <c r="BR52" s="6"/>
      <c r="BS52" s="6"/>
      <c r="BT52" s="6"/>
      <c r="BU52" s="6"/>
      <c r="BV52" s="6"/>
      <c r="BW52" s="6"/>
      <c r="BX52" s="6"/>
      <c r="BY52" s="6"/>
      <c r="BZ52" s="6"/>
      <c r="CA52" s="6"/>
      <c r="CB52" s="6"/>
      <c r="CC52" s="6"/>
      <c r="CD52" s="6"/>
      <c r="CE52" s="6"/>
    </row>
    <row r="53" spans="1:83" s="258" customFormat="1" ht="15.75">
      <c r="A53" s="251"/>
      <c r="B53" s="251"/>
      <c r="C53" s="251"/>
      <c r="D53" s="251"/>
      <c r="E53" s="251"/>
      <c r="F53" s="251"/>
      <c r="G53" s="252"/>
      <c r="H53" s="394"/>
      <c r="I53" s="545"/>
      <c r="J53" s="400"/>
      <c r="K53" s="400"/>
      <c r="L53" s="271"/>
      <c r="M53" s="400"/>
      <c r="N53" s="545"/>
      <c r="O53" s="548"/>
      <c r="P53" s="551"/>
      <c r="Q53" s="533"/>
      <c r="R53" s="533"/>
      <c r="S53" s="533"/>
      <c r="T53" s="533"/>
      <c r="U53" s="533"/>
      <c r="V53" s="533"/>
      <c r="W53" s="554"/>
      <c r="X53" s="557"/>
      <c r="Y53" s="554"/>
      <c r="Z53" s="560"/>
      <c r="AA53" s="554"/>
      <c r="AB53" s="263" t="s">
        <v>217</v>
      </c>
      <c r="AC53" s="260"/>
      <c r="AD53" s="260"/>
      <c r="AE53" s="260"/>
      <c r="AF53" s="260"/>
      <c r="AG53" s="260"/>
      <c r="AH53" s="260"/>
      <c r="AI53" s="260"/>
      <c r="AJ53" s="260"/>
      <c r="AK53" s="260"/>
      <c r="AL53" s="260"/>
      <c r="AM53" s="260"/>
      <c r="AN53" s="260"/>
      <c r="AO53" s="260"/>
      <c r="AP53" s="260"/>
      <c r="AQ53" s="260">
        <f t="shared" si="12"/>
        <v>0</v>
      </c>
      <c r="AR53" s="261">
        <f t="shared" si="12"/>
        <v>0</v>
      </c>
      <c r="AS53" s="256">
        <f t="shared" si="1"/>
        <v>0</v>
      </c>
      <c r="AT53" s="256">
        <f t="shared" si="1"/>
        <v>0</v>
      </c>
      <c r="AU53" s="256">
        <f t="shared" si="2"/>
        <v>0</v>
      </c>
      <c r="AV53" s="6"/>
      <c r="AW53" s="256">
        <f>+'[4]Metas'!S53:S68-S53</f>
        <v>0</v>
      </c>
      <c r="AX53" s="256">
        <f>+'[4]Metas'!T53:T68-T53</f>
        <v>0</v>
      </c>
      <c r="AY53" s="256">
        <f>+'[4]Metas'!U53:U68-U53</f>
        <v>0</v>
      </c>
      <c r="AZ53" s="256">
        <f>+'[4]Metas'!V53:V68-V53</f>
        <v>0</v>
      </c>
      <c r="BA53" s="6"/>
      <c r="BB53" s="6"/>
      <c r="BC53" s="6"/>
      <c r="BD53" s="6"/>
      <c r="BE53" s="262"/>
      <c r="BF53" s="262"/>
      <c r="BG53" s="262"/>
      <c r="BH53" s="262"/>
      <c r="BI53" s="262"/>
      <c r="BJ53" s="262"/>
      <c r="BN53" s="6"/>
      <c r="BO53" s="6"/>
      <c r="BP53" s="6"/>
      <c r="BQ53" s="6"/>
      <c r="BR53" s="6"/>
      <c r="BS53" s="6"/>
      <c r="BT53" s="6"/>
      <c r="BU53" s="6"/>
      <c r="BV53" s="6"/>
      <c r="BW53" s="6"/>
      <c r="BX53" s="6"/>
      <c r="BY53" s="6"/>
      <c r="BZ53" s="6"/>
      <c r="CA53" s="6"/>
      <c r="CB53" s="6"/>
      <c r="CC53" s="6"/>
      <c r="CD53" s="6"/>
      <c r="CE53" s="6"/>
    </row>
    <row r="54" spans="1:83" s="258" customFormat="1" ht="15.75">
      <c r="A54" s="251"/>
      <c r="B54" s="251"/>
      <c r="C54" s="251"/>
      <c r="D54" s="251"/>
      <c r="E54" s="251"/>
      <c r="F54" s="251"/>
      <c r="G54" s="252"/>
      <c r="H54" s="394"/>
      <c r="I54" s="545"/>
      <c r="J54" s="400"/>
      <c r="K54" s="400"/>
      <c r="L54" s="271"/>
      <c r="M54" s="400"/>
      <c r="N54" s="545"/>
      <c r="O54" s="548"/>
      <c r="P54" s="551"/>
      <c r="Q54" s="533"/>
      <c r="R54" s="533"/>
      <c r="S54" s="533"/>
      <c r="T54" s="533"/>
      <c r="U54" s="533"/>
      <c r="V54" s="533"/>
      <c r="W54" s="554"/>
      <c r="X54" s="557"/>
      <c r="Y54" s="554"/>
      <c r="Z54" s="560"/>
      <c r="AA54" s="554"/>
      <c r="AB54" s="264" t="s">
        <v>218</v>
      </c>
      <c r="AC54" s="265">
        <f aca="true" t="shared" si="13" ref="AC54:AR54">SUM(AC48:AC53)</f>
        <v>0</v>
      </c>
      <c r="AD54" s="265">
        <f t="shared" si="13"/>
        <v>0</v>
      </c>
      <c r="AE54" s="265">
        <f t="shared" si="13"/>
        <v>0</v>
      </c>
      <c r="AF54" s="265">
        <f t="shared" si="13"/>
        <v>0</v>
      </c>
      <c r="AG54" s="265">
        <f t="shared" si="13"/>
        <v>0</v>
      </c>
      <c r="AH54" s="265">
        <f t="shared" si="13"/>
        <v>0</v>
      </c>
      <c r="AI54" s="265">
        <f t="shared" si="13"/>
        <v>0</v>
      </c>
      <c r="AJ54" s="265">
        <f t="shared" si="13"/>
        <v>0</v>
      </c>
      <c r="AK54" s="265">
        <f t="shared" si="13"/>
        <v>0</v>
      </c>
      <c r="AL54" s="265">
        <f t="shared" si="13"/>
        <v>0</v>
      </c>
      <c r="AM54" s="265">
        <f t="shared" si="13"/>
        <v>0</v>
      </c>
      <c r="AN54" s="265">
        <f t="shared" si="13"/>
        <v>0</v>
      </c>
      <c r="AO54" s="265">
        <f t="shared" si="13"/>
        <v>0</v>
      </c>
      <c r="AP54" s="265">
        <f t="shared" si="13"/>
        <v>0</v>
      </c>
      <c r="AQ54" s="265">
        <f t="shared" si="13"/>
        <v>0</v>
      </c>
      <c r="AR54" s="266">
        <f t="shared" si="13"/>
        <v>0</v>
      </c>
      <c r="AS54" s="256">
        <f t="shared" si="1"/>
        <v>0</v>
      </c>
      <c r="AT54" s="256">
        <f t="shared" si="1"/>
        <v>0</v>
      </c>
      <c r="AU54" s="256">
        <f t="shared" si="2"/>
        <v>0</v>
      </c>
      <c r="AV54" s="6"/>
      <c r="AW54" s="256">
        <f>+'[4]Metas'!S54:S69-S54</f>
        <v>0</v>
      </c>
      <c r="AX54" s="256">
        <f>+'[4]Metas'!T54:T69-T54</f>
        <v>0</v>
      </c>
      <c r="AY54" s="256">
        <f>+'[4]Metas'!U54:U69-U54</f>
        <v>0</v>
      </c>
      <c r="AZ54" s="256">
        <f>+'[4]Metas'!V54:V69-V54</f>
        <v>0</v>
      </c>
      <c r="BA54" s="6"/>
      <c r="BB54" s="6"/>
      <c r="BC54" s="6"/>
      <c r="BD54" s="6"/>
      <c r="BE54" s="262"/>
      <c r="BF54" s="262"/>
      <c r="BG54" s="262"/>
      <c r="BH54" s="262"/>
      <c r="BI54" s="262"/>
      <c r="BJ54" s="262"/>
      <c r="BN54" s="6"/>
      <c r="BO54" s="6"/>
      <c r="BP54" s="6"/>
      <c r="BQ54" s="6"/>
      <c r="BR54" s="6"/>
      <c r="BS54" s="6"/>
      <c r="BT54" s="6"/>
      <c r="BU54" s="6"/>
      <c r="BV54" s="6"/>
      <c r="BW54" s="6"/>
      <c r="BX54" s="6"/>
      <c r="BY54" s="6"/>
      <c r="BZ54" s="6"/>
      <c r="CA54" s="6"/>
      <c r="CB54" s="6"/>
      <c r="CC54" s="6"/>
      <c r="CD54" s="6"/>
      <c r="CE54" s="6"/>
    </row>
    <row r="55" spans="1:83" s="258" customFormat="1" ht="15.75">
      <c r="A55" s="251"/>
      <c r="B55" s="251"/>
      <c r="C55" s="251"/>
      <c r="D55" s="251"/>
      <c r="E55" s="251"/>
      <c r="F55" s="251"/>
      <c r="G55" s="252"/>
      <c r="H55" s="394"/>
      <c r="I55" s="545"/>
      <c r="J55" s="400"/>
      <c r="K55" s="400"/>
      <c r="L55" s="271"/>
      <c r="M55" s="400"/>
      <c r="N55" s="545"/>
      <c r="O55" s="548"/>
      <c r="P55" s="551"/>
      <c r="Q55" s="533"/>
      <c r="R55" s="533"/>
      <c r="S55" s="533"/>
      <c r="T55" s="533"/>
      <c r="U55" s="533"/>
      <c r="V55" s="533"/>
      <c r="W55" s="554"/>
      <c r="X55" s="557"/>
      <c r="Y55" s="554"/>
      <c r="Z55" s="560"/>
      <c r="AA55" s="554"/>
      <c r="AB55" s="259" t="s">
        <v>219</v>
      </c>
      <c r="AC55" s="260"/>
      <c r="AD55" s="260"/>
      <c r="AE55" s="260"/>
      <c r="AF55" s="260"/>
      <c r="AG55" s="260"/>
      <c r="AH55" s="260"/>
      <c r="AI55" s="260"/>
      <c r="AJ55" s="260"/>
      <c r="AK55" s="260"/>
      <c r="AL55" s="260"/>
      <c r="AM55" s="260"/>
      <c r="AN55" s="260"/>
      <c r="AO55" s="260"/>
      <c r="AP55" s="260"/>
      <c r="AQ55" s="260">
        <f>+AC55+AE55+AG55+AI55+AK55+AM55+AO55</f>
        <v>0</v>
      </c>
      <c r="AR55" s="261">
        <f aca="true" t="shared" si="14" ref="AR55:AR61">+AD55+AF55+AH55+AJ55+AL55+AN55+AP55</f>
        <v>0</v>
      </c>
      <c r="AS55" s="256">
        <f t="shared" si="1"/>
        <v>0</v>
      </c>
      <c r="AT55" s="256">
        <f t="shared" si="1"/>
        <v>0</v>
      </c>
      <c r="AU55" s="256">
        <f t="shared" si="2"/>
        <v>0</v>
      </c>
      <c r="AV55" s="6"/>
      <c r="AW55" s="256">
        <f>+'[4]Metas'!S55:S70-S55</f>
        <v>0</v>
      </c>
      <c r="AX55" s="256">
        <f>+'[4]Metas'!T55:T70-T55</f>
        <v>0</v>
      </c>
      <c r="AY55" s="256">
        <f>+'[4]Metas'!U55:U70-U55</f>
        <v>0</v>
      </c>
      <c r="AZ55" s="256">
        <f>+'[4]Metas'!V55:V70-V55</f>
        <v>0</v>
      </c>
      <c r="BA55" s="6"/>
      <c r="BB55" s="6"/>
      <c r="BC55" s="6"/>
      <c r="BD55" s="6"/>
      <c r="BE55" s="262"/>
      <c r="BF55" s="262"/>
      <c r="BG55" s="262"/>
      <c r="BH55" s="262"/>
      <c r="BI55" s="262"/>
      <c r="BJ55" s="262"/>
      <c r="BN55" s="6"/>
      <c r="BO55" s="6"/>
      <c r="BP55" s="6"/>
      <c r="BQ55" s="6"/>
      <c r="BR55" s="6"/>
      <c r="BS55" s="6"/>
      <c r="BT55" s="6"/>
      <c r="BU55" s="6"/>
      <c r="BV55" s="6"/>
      <c r="BW55" s="6"/>
      <c r="BX55" s="6"/>
      <c r="BY55" s="6"/>
      <c r="BZ55" s="6"/>
      <c r="CA55" s="6"/>
      <c r="CB55" s="6"/>
      <c r="CC55" s="6"/>
      <c r="CD55" s="6"/>
      <c r="CE55" s="6"/>
    </row>
    <row r="56" spans="1:83" s="258" customFormat="1" ht="15.75">
      <c r="A56" s="251"/>
      <c r="B56" s="251"/>
      <c r="C56" s="251"/>
      <c r="D56" s="251"/>
      <c r="E56" s="251"/>
      <c r="F56" s="251"/>
      <c r="G56" s="252"/>
      <c r="H56" s="394"/>
      <c r="I56" s="545"/>
      <c r="J56" s="400"/>
      <c r="K56" s="400"/>
      <c r="L56" s="271"/>
      <c r="M56" s="400"/>
      <c r="N56" s="545"/>
      <c r="O56" s="548"/>
      <c r="P56" s="551"/>
      <c r="Q56" s="533"/>
      <c r="R56" s="533"/>
      <c r="S56" s="533"/>
      <c r="T56" s="533"/>
      <c r="U56" s="533"/>
      <c r="V56" s="533"/>
      <c r="W56" s="554"/>
      <c r="X56" s="557"/>
      <c r="Y56" s="554"/>
      <c r="Z56" s="560"/>
      <c r="AA56" s="554"/>
      <c r="AB56" s="259" t="s">
        <v>220</v>
      </c>
      <c r="AC56" s="260"/>
      <c r="AD56" s="260"/>
      <c r="AE56" s="260"/>
      <c r="AF56" s="260"/>
      <c r="AG56" s="260"/>
      <c r="AH56" s="260"/>
      <c r="AI56" s="260"/>
      <c r="AJ56" s="260"/>
      <c r="AK56" s="260"/>
      <c r="AL56" s="260"/>
      <c r="AM56" s="260"/>
      <c r="AN56" s="260"/>
      <c r="AO56" s="260"/>
      <c r="AP56" s="260"/>
      <c r="AQ56" s="260">
        <f aca="true" t="shared" si="15" ref="AQ56:AQ61">+AC56+AE56+AG56+AI56+AK56+AM56+AO56</f>
        <v>0</v>
      </c>
      <c r="AR56" s="261">
        <f t="shared" si="14"/>
        <v>0</v>
      </c>
      <c r="AS56" s="256">
        <f t="shared" si="1"/>
        <v>0</v>
      </c>
      <c r="AT56" s="256">
        <f t="shared" si="1"/>
        <v>0</v>
      </c>
      <c r="AU56" s="256">
        <f t="shared" si="2"/>
        <v>0</v>
      </c>
      <c r="AV56" s="6"/>
      <c r="AW56" s="256">
        <f>+'[4]Metas'!S56:S71-S56</f>
        <v>0</v>
      </c>
      <c r="AX56" s="256">
        <f>+'[4]Metas'!T56:T71-T56</f>
        <v>0</v>
      </c>
      <c r="AY56" s="256">
        <f>+'[4]Metas'!U56:U71-U56</f>
        <v>0</v>
      </c>
      <c r="AZ56" s="256">
        <f>+'[4]Metas'!V56:V71-V56</f>
        <v>0</v>
      </c>
      <c r="BA56" s="6"/>
      <c r="BB56" s="6"/>
      <c r="BC56" s="6"/>
      <c r="BD56" s="6"/>
      <c r="BE56" s="262"/>
      <c r="BF56" s="262"/>
      <c r="BG56" s="262"/>
      <c r="BH56" s="262"/>
      <c r="BI56" s="262"/>
      <c r="BJ56" s="262"/>
      <c r="BN56" s="6"/>
      <c r="BO56" s="6"/>
      <c r="BP56" s="6"/>
      <c r="BQ56" s="6"/>
      <c r="BR56" s="6"/>
      <c r="BS56" s="6"/>
      <c r="BT56" s="6"/>
      <c r="BU56" s="6"/>
      <c r="BV56" s="6"/>
      <c r="BW56" s="6"/>
      <c r="BX56" s="6"/>
      <c r="BY56" s="6"/>
      <c r="BZ56" s="6"/>
      <c r="CA56" s="6"/>
      <c r="CB56" s="6"/>
      <c r="CC56" s="6"/>
      <c r="CD56" s="6"/>
      <c r="CE56" s="6"/>
    </row>
    <row r="57" spans="1:83" s="258" customFormat="1" ht="15.75">
      <c r="A57" s="251"/>
      <c r="B57" s="251"/>
      <c r="C57" s="251"/>
      <c r="D57" s="251"/>
      <c r="E57" s="251"/>
      <c r="F57" s="251"/>
      <c r="G57" s="252"/>
      <c r="H57" s="394"/>
      <c r="I57" s="545"/>
      <c r="J57" s="400"/>
      <c r="K57" s="400"/>
      <c r="L57" s="271"/>
      <c r="M57" s="400"/>
      <c r="N57" s="545"/>
      <c r="O57" s="548"/>
      <c r="P57" s="551"/>
      <c r="Q57" s="533"/>
      <c r="R57" s="533"/>
      <c r="S57" s="533"/>
      <c r="T57" s="533"/>
      <c r="U57" s="533"/>
      <c r="V57" s="533"/>
      <c r="W57" s="554"/>
      <c r="X57" s="557"/>
      <c r="Y57" s="554"/>
      <c r="Z57" s="560"/>
      <c r="AA57" s="554"/>
      <c r="AB57" s="263" t="s">
        <v>221</v>
      </c>
      <c r="AC57" s="260"/>
      <c r="AD57" s="260"/>
      <c r="AE57" s="260"/>
      <c r="AF57" s="260"/>
      <c r="AG57" s="260"/>
      <c r="AH57" s="260"/>
      <c r="AI57" s="260"/>
      <c r="AJ57" s="260"/>
      <c r="AK57" s="260"/>
      <c r="AL57" s="260"/>
      <c r="AM57" s="260"/>
      <c r="AN57" s="260"/>
      <c r="AO57" s="260"/>
      <c r="AP57" s="260"/>
      <c r="AQ57" s="260">
        <f t="shared" si="15"/>
        <v>0</v>
      </c>
      <c r="AR57" s="261">
        <f t="shared" si="14"/>
        <v>0</v>
      </c>
      <c r="AS57" s="256">
        <f t="shared" si="1"/>
        <v>0</v>
      </c>
      <c r="AT57" s="256">
        <f t="shared" si="1"/>
        <v>0</v>
      </c>
      <c r="AU57" s="256">
        <f t="shared" si="2"/>
        <v>0</v>
      </c>
      <c r="AV57" s="6"/>
      <c r="AW57" s="256">
        <f>+'[4]Metas'!S57:S72-S57</f>
        <v>0</v>
      </c>
      <c r="AX57" s="256">
        <f>+'[4]Metas'!T57:T72-T57</f>
        <v>0</v>
      </c>
      <c r="AY57" s="256">
        <f>+'[4]Metas'!U57:U72-U57</f>
        <v>0</v>
      </c>
      <c r="AZ57" s="256">
        <f>+'[4]Metas'!V57:V72-V57</f>
        <v>0</v>
      </c>
      <c r="BA57" s="6"/>
      <c r="BB57" s="6"/>
      <c r="BC57" s="6"/>
      <c r="BD57" s="6"/>
      <c r="BE57" s="262"/>
      <c r="BF57" s="262"/>
      <c r="BG57" s="262"/>
      <c r="BH57" s="262"/>
      <c r="BI57" s="262"/>
      <c r="BJ57" s="262"/>
      <c r="BN57" s="6"/>
      <c r="BO57" s="6"/>
      <c r="BP57" s="6"/>
      <c r="BQ57" s="6"/>
      <c r="BR57" s="6"/>
      <c r="BS57" s="6"/>
      <c r="BT57" s="6"/>
      <c r="BU57" s="6"/>
      <c r="BV57" s="6"/>
      <c r="BW57" s="6"/>
      <c r="BX57" s="6"/>
      <c r="BY57" s="6"/>
      <c r="BZ57" s="6"/>
      <c r="CA57" s="6"/>
      <c r="CB57" s="6"/>
      <c r="CC57" s="6"/>
      <c r="CD57" s="6"/>
      <c r="CE57" s="6"/>
    </row>
    <row r="58" spans="1:83" s="258" customFormat="1" ht="15.75">
      <c r="A58" s="251"/>
      <c r="B58" s="251"/>
      <c r="C58" s="251"/>
      <c r="D58" s="251"/>
      <c r="E58" s="251"/>
      <c r="F58" s="251"/>
      <c r="G58" s="252"/>
      <c r="H58" s="394"/>
      <c r="I58" s="545"/>
      <c r="J58" s="400"/>
      <c r="K58" s="400"/>
      <c r="L58" s="271"/>
      <c r="M58" s="400"/>
      <c r="N58" s="545"/>
      <c r="O58" s="548"/>
      <c r="P58" s="551"/>
      <c r="Q58" s="533"/>
      <c r="R58" s="533"/>
      <c r="S58" s="533"/>
      <c r="T58" s="533"/>
      <c r="U58" s="533"/>
      <c r="V58" s="533"/>
      <c r="W58" s="554"/>
      <c r="X58" s="557"/>
      <c r="Y58" s="554"/>
      <c r="Z58" s="560"/>
      <c r="AA58" s="554"/>
      <c r="AB58" s="263" t="s">
        <v>222</v>
      </c>
      <c r="AC58" s="260"/>
      <c r="AD58" s="260"/>
      <c r="AE58" s="260"/>
      <c r="AF58" s="260"/>
      <c r="AG58" s="260"/>
      <c r="AH58" s="260"/>
      <c r="AI58" s="260"/>
      <c r="AJ58" s="260"/>
      <c r="AK58" s="260"/>
      <c r="AL58" s="260"/>
      <c r="AM58" s="260"/>
      <c r="AN58" s="260"/>
      <c r="AO58" s="260"/>
      <c r="AP58" s="260"/>
      <c r="AQ58" s="260">
        <f t="shared" si="15"/>
        <v>0</v>
      </c>
      <c r="AR58" s="261">
        <f t="shared" si="14"/>
        <v>0</v>
      </c>
      <c r="AS58" s="256">
        <f t="shared" si="1"/>
        <v>0</v>
      </c>
      <c r="AT58" s="256">
        <f t="shared" si="1"/>
        <v>0</v>
      </c>
      <c r="AU58" s="256">
        <f t="shared" si="2"/>
        <v>0</v>
      </c>
      <c r="AV58" s="6"/>
      <c r="AW58" s="256">
        <f>+'[4]Metas'!S58:S73-S58</f>
        <v>0</v>
      </c>
      <c r="AX58" s="256">
        <f>+'[4]Metas'!T58:T73-T58</f>
        <v>0</v>
      </c>
      <c r="AY58" s="256">
        <f>+'[4]Metas'!U58:U73-U58</f>
        <v>0</v>
      </c>
      <c r="AZ58" s="256">
        <f>+'[4]Metas'!V58:V73-V58</f>
        <v>0</v>
      </c>
      <c r="BA58" s="6"/>
      <c r="BB58" s="6"/>
      <c r="BC58" s="6"/>
      <c r="BD58" s="6"/>
      <c r="BE58" s="262"/>
      <c r="BF58" s="262"/>
      <c r="BG58" s="262"/>
      <c r="BH58" s="262"/>
      <c r="BI58" s="262"/>
      <c r="BJ58" s="262"/>
      <c r="BN58" s="6"/>
      <c r="BO58" s="6"/>
      <c r="BP58" s="6"/>
      <c r="BQ58" s="6"/>
      <c r="BR58" s="6"/>
      <c r="BS58" s="6"/>
      <c r="BT58" s="6"/>
      <c r="BU58" s="6"/>
      <c r="BV58" s="6"/>
      <c r="BW58" s="6"/>
      <c r="BX58" s="6"/>
      <c r="BY58" s="6"/>
      <c r="BZ58" s="6"/>
      <c r="CA58" s="6"/>
      <c r="CB58" s="6"/>
      <c r="CC58" s="6"/>
      <c r="CD58" s="6"/>
      <c r="CE58" s="6"/>
    </row>
    <row r="59" spans="1:83" s="258" customFormat="1" ht="15.75">
      <c r="A59" s="251"/>
      <c r="B59" s="251"/>
      <c r="C59" s="251"/>
      <c r="D59" s="251"/>
      <c r="E59" s="251"/>
      <c r="F59" s="251"/>
      <c r="G59" s="252"/>
      <c r="H59" s="394"/>
      <c r="I59" s="545"/>
      <c r="J59" s="400"/>
      <c r="K59" s="400"/>
      <c r="L59" s="271"/>
      <c r="M59" s="400"/>
      <c r="N59" s="545"/>
      <c r="O59" s="548"/>
      <c r="P59" s="551"/>
      <c r="Q59" s="533"/>
      <c r="R59" s="533"/>
      <c r="S59" s="533"/>
      <c r="T59" s="533"/>
      <c r="U59" s="533"/>
      <c r="V59" s="533"/>
      <c r="W59" s="554"/>
      <c r="X59" s="557"/>
      <c r="Y59" s="554"/>
      <c r="Z59" s="560"/>
      <c r="AA59" s="554"/>
      <c r="AB59" s="263" t="s">
        <v>223</v>
      </c>
      <c r="AC59" s="260"/>
      <c r="AD59" s="260"/>
      <c r="AE59" s="260"/>
      <c r="AF59" s="260"/>
      <c r="AG59" s="260"/>
      <c r="AH59" s="260"/>
      <c r="AI59" s="260"/>
      <c r="AJ59" s="260"/>
      <c r="AK59" s="260"/>
      <c r="AL59" s="260"/>
      <c r="AM59" s="260"/>
      <c r="AN59" s="260"/>
      <c r="AO59" s="260"/>
      <c r="AP59" s="260"/>
      <c r="AQ59" s="260">
        <f t="shared" si="15"/>
        <v>0</v>
      </c>
      <c r="AR59" s="261">
        <f t="shared" si="14"/>
        <v>0</v>
      </c>
      <c r="AS59" s="256">
        <f t="shared" si="1"/>
        <v>0</v>
      </c>
      <c r="AT59" s="256">
        <f t="shared" si="1"/>
        <v>0</v>
      </c>
      <c r="AU59" s="256">
        <f t="shared" si="2"/>
        <v>0</v>
      </c>
      <c r="AV59" s="6"/>
      <c r="AW59" s="256">
        <f>+'[4]Metas'!S59:S74-S59</f>
        <v>0</v>
      </c>
      <c r="AX59" s="256">
        <f>+'[4]Metas'!T59:T74-T59</f>
        <v>0</v>
      </c>
      <c r="AY59" s="256">
        <f>+'[4]Metas'!U59:U74-U59</f>
        <v>0</v>
      </c>
      <c r="AZ59" s="256">
        <f>+'[4]Metas'!V59:V74-V59</f>
        <v>0</v>
      </c>
      <c r="BA59" s="6"/>
      <c r="BB59" s="6"/>
      <c r="BC59" s="6"/>
      <c r="BD59" s="6"/>
      <c r="BE59" s="262"/>
      <c r="BF59" s="262"/>
      <c r="BG59" s="262"/>
      <c r="BH59" s="262"/>
      <c r="BI59" s="262"/>
      <c r="BJ59" s="262"/>
      <c r="BN59" s="6"/>
      <c r="BO59" s="6"/>
      <c r="BP59" s="6"/>
      <c r="BQ59" s="6"/>
      <c r="BR59" s="6"/>
      <c r="BS59" s="6"/>
      <c r="BT59" s="6"/>
      <c r="BU59" s="6"/>
      <c r="BV59" s="6"/>
      <c r="BW59" s="6"/>
      <c r="BX59" s="6"/>
      <c r="BY59" s="6"/>
      <c r="BZ59" s="6"/>
      <c r="CA59" s="6"/>
      <c r="CB59" s="6"/>
      <c r="CC59" s="6"/>
      <c r="CD59" s="6"/>
      <c r="CE59" s="6"/>
    </row>
    <row r="60" spans="1:83" s="258" customFormat="1" ht="15.75">
      <c r="A60" s="251"/>
      <c r="B60" s="251"/>
      <c r="C60" s="251"/>
      <c r="D60" s="251"/>
      <c r="E60" s="251"/>
      <c r="F60" s="251"/>
      <c r="G60" s="252"/>
      <c r="H60" s="394"/>
      <c r="I60" s="545"/>
      <c r="J60" s="400"/>
      <c r="K60" s="400"/>
      <c r="L60" s="271"/>
      <c r="M60" s="400"/>
      <c r="N60" s="545"/>
      <c r="O60" s="548"/>
      <c r="P60" s="551"/>
      <c r="Q60" s="533"/>
      <c r="R60" s="533"/>
      <c r="S60" s="533"/>
      <c r="T60" s="533"/>
      <c r="U60" s="533"/>
      <c r="V60" s="533"/>
      <c r="W60" s="554"/>
      <c r="X60" s="557"/>
      <c r="Y60" s="554"/>
      <c r="Z60" s="560"/>
      <c r="AA60" s="554"/>
      <c r="AB60" s="263" t="s">
        <v>224</v>
      </c>
      <c r="AC60" s="260"/>
      <c r="AD60" s="260"/>
      <c r="AE60" s="260"/>
      <c r="AF60" s="260"/>
      <c r="AG60" s="260"/>
      <c r="AH60" s="260"/>
      <c r="AI60" s="260"/>
      <c r="AJ60" s="260"/>
      <c r="AK60" s="260"/>
      <c r="AL60" s="260"/>
      <c r="AM60" s="260"/>
      <c r="AN60" s="260"/>
      <c r="AO60" s="260"/>
      <c r="AP60" s="260"/>
      <c r="AQ60" s="260">
        <f t="shared" si="15"/>
        <v>0</v>
      </c>
      <c r="AR60" s="261">
        <f t="shared" si="14"/>
        <v>0</v>
      </c>
      <c r="AS60" s="256">
        <f t="shared" si="1"/>
        <v>0</v>
      </c>
      <c r="AT60" s="256">
        <f t="shared" si="1"/>
        <v>0</v>
      </c>
      <c r="AU60" s="256">
        <f t="shared" si="2"/>
        <v>0</v>
      </c>
      <c r="AV60" s="6"/>
      <c r="AW60" s="256">
        <f>+'[4]Metas'!S60:S75-S60</f>
        <v>0</v>
      </c>
      <c r="AX60" s="256">
        <f>+'[4]Metas'!T60:T75-T60</f>
        <v>0</v>
      </c>
      <c r="AY60" s="256">
        <f>+'[4]Metas'!U60:U75-U60</f>
        <v>0</v>
      </c>
      <c r="AZ60" s="256">
        <f>+'[4]Metas'!V60:V75-V60</f>
        <v>0</v>
      </c>
      <c r="BA60" s="6"/>
      <c r="BB60" s="6"/>
      <c r="BC60" s="6"/>
      <c r="BD60" s="6"/>
      <c r="BE60" s="262"/>
      <c r="BF60" s="262"/>
      <c r="BG60" s="262"/>
      <c r="BH60" s="262"/>
      <c r="BI60" s="262"/>
      <c r="BJ60" s="262"/>
      <c r="BN60" s="6"/>
      <c r="BO60" s="6"/>
      <c r="BP60" s="6"/>
      <c r="BQ60" s="6"/>
      <c r="BR60" s="6"/>
      <c r="BS60" s="6"/>
      <c r="BT60" s="6"/>
      <c r="BU60" s="6"/>
      <c r="BV60" s="6"/>
      <c r="BW60" s="6"/>
      <c r="BX60" s="6"/>
      <c r="BY60" s="6"/>
      <c r="BZ60" s="6"/>
      <c r="CA60" s="6"/>
      <c r="CB60" s="6"/>
      <c r="CC60" s="6"/>
      <c r="CD60" s="6"/>
      <c r="CE60" s="6"/>
    </row>
    <row r="61" spans="1:83" s="258" customFormat="1" ht="15.75">
      <c r="A61" s="251"/>
      <c r="B61" s="251"/>
      <c r="C61" s="251"/>
      <c r="D61" s="251"/>
      <c r="E61" s="251"/>
      <c r="F61" s="251"/>
      <c r="G61" s="252"/>
      <c r="H61" s="394"/>
      <c r="I61" s="545"/>
      <c r="J61" s="400"/>
      <c r="K61" s="400"/>
      <c r="L61" s="271"/>
      <c r="M61" s="400"/>
      <c r="N61" s="545"/>
      <c r="O61" s="548"/>
      <c r="P61" s="551"/>
      <c r="Q61" s="533"/>
      <c r="R61" s="533"/>
      <c r="S61" s="533"/>
      <c r="T61" s="533"/>
      <c r="U61" s="533"/>
      <c r="V61" s="533"/>
      <c r="W61" s="554"/>
      <c r="X61" s="557"/>
      <c r="Y61" s="554"/>
      <c r="Z61" s="560"/>
      <c r="AA61" s="554"/>
      <c r="AB61" s="263" t="s">
        <v>225</v>
      </c>
      <c r="AC61" s="260"/>
      <c r="AD61" s="260"/>
      <c r="AE61" s="260"/>
      <c r="AF61" s="260"/>
      <c r="AG61" s="260"/>
      <c r="AH61" s="260"/>
      <c r="AI61" s="260"/>
      <c r="AJ61" s="260"/>
      <c r="AK61" s="260"/>
      <c r="AL61" s="260"/>
      <c r="AM61" s="260"/>
      <c r="AN61" s="260"/>
      <c r="AO61" s="260"/>
      <c r="AP61" s="260"/>
      <c r="AQ61" s="260">
        <f t="shared" si="15"/>
        <v>0</v>
      </c>
      <c r="AR61" s="261">
        <f t="shared" si="14"/>
        <v>0</v>
      </c>
      <c r="AS61" s="256">
        <f t="shared" si="1"/>
        <v>0</v>
      </c>
      <c r="AT61" s="256">
        <f t="shared" si="1"/>
        <v>0</v>
      </c>
      <c r="AU61" s="256">
        <f t="shared" si="2"/>
        <v>0</v>
      </c>
      <c r="AV61" s="6"/>
      <c r="AW61" s="256">
        <f>+'[4]Metas'!S61:S76-S61</f>
        <v>0</v>
      </c>
      <c r="AX61" s="256">
        <f>+'[4]Metas'!T61:T76-T61</f>
        <v>0</v>
      </c>
      <c r="AY61" s="256">
        <f>+'[4]Metas'!U61:U76-U61</f>
        <v>0</v>
      </c>
      <c r="AZ61" s="256">
        <f>+'[4]Metas'!V61:V76-V61</f>
        <v>0</v>
      </c>
      <c r="BA61" s="6"/>
      <c r="BB61" s="6"/>
      <c r="BC61" s="6"/>
      <c r="BD61" s="6"/>
      <c r="BE61" s="262"/>
      <c r="BF61" s="262"/>
      <c r="BG61" s="262"/>
      <c r="BH61" s="262"/>
      <c r="BI61" s="262"/>
      <c r="BJ61" s="262"/>
      <c r="BN61" s="6"/>
      <c r="BO61" s="6"/>
      <c r="BP61" s="6"/>
      <c r="BQ61" s="6"/>
      <c r="BR61" s="6"/>
      <c r="BS61" s="6"/>
      <c r="BT61" s="6"/>
      <c r="BU61" s="6"/>
      <c r="BV61" s="6"/>
      <c r="BW61" s="6"/>
      <c r="BX61" s="6"/>
      <c r="BY61" s="6"/>
      <c r="BZ61" s="6"/>
      <c r="CA61" s="6"/>
      <c r="CB61" s="6"/>
      <c r="CC61" s="6"/>
      <c r="CD61" s="6"/>
      <c r="CE61" s="6"/>
    </row>
    <row r="62" spans="1:83" s="258" customFormat="1" ht="15.75">
      <c r="A62" s="251"/>
      <c r="B62" s="251"/>
      <c r="C62" s="251"/>
      <c r="D62" s="251"/>
      <c r="E62" s="251"/>
      <c r="F62" s="251"/>
      <c r="G62" s="252"/>
      <c r="H62" s="394"/>
      <c r="I62" s="545"/>
      <c r="J62" s="400"/>
      <c r="K62" s="400"/>
      <c r="L62" s="271"/>
      <c r="M62" s="400"/>
      <c r="N62" s="545"/>
      <c r="O62" s="548"/>
      <c r="P62" s="551"/>
      <c r="Q62" s="533"/>
      <c r="R62" s="533"/>
      <c r="S62" s="533"/>
      <c r="T62" s="533"/>
      <c r="U62" s="533"/>
      <c r="V62" s="533"/>
      <c r="W62" s="554"/>
      <c r="X62" s="557"/>
      <c r="Y62" s="554"/>
      <c r="Z62" s="560"/>
      <c r="AA62" s="554"/>
      <c r="AB62" s="264" t="s">
        <v>226</v>
      </c>
      <c r="AC62" s="265">
        <f aca="true" t="shared" si="16" ref="AC62:AR62">SUM(AC56:AC61)+IF(AC54=0,AC55,AC54)</f>
        <v>0</v>
      </c>
      <c r="AD62" s="265">
        <f t="shared" si="16"/>
        <v>0</v>
      </c>
      <c r="AE62" s="265">
        <f t="shared" si="16"/>
        <v>0</v>
      </c>
      <c r="AF62" s="265">
        <f t="shared" si="16"/>
        <v>0</v>
      </c>
      <c r="AG62" s="265">
        <f t="shared" si="16"/>
        <v>0</v>
      </c>
      <c r="AH62" s="265">
        <f t="shared" si="16"/>
        <v>0</v>
      </c>
      <c r="AI62" s="265">
        <f t="shared" si="16"/>
        <v>0</v>
      </c>
      <c r="AJ62" s="265">
        <f t="shared" si="16"/>
        <v>0</v>
      </c>
      <c r="AK62" s="265">
        <f t="shared" si="16"/>
        <v>0</v>
      </c>
      <c r="AL62" s="265">
        <f t="shared" si="16"/>
        <v>0</v>
      </c>
      <c r="AM62" s="265">
        <f t="shared" si="16"/>
        <v>0</v>
      </c>
      <c r="AN62" s="265">
        <f t="shared" si="16"/>
        <v>0</v>
      </c>
      <c r="AO62" s="265">
        <f t="shared" si="16"/>
        <v>0</v>
      </c>
      <c r="AP62" s="265">
        <f t="shared" si="16"/>
        <v>0</v>
      </c>
      <c r="AQ62" s="265">
        <f t="shared" si="16"/>
        <v>0</v>
      </c>
      <c r="AR62" s="266">
        <f t="shared" si="16"/>
        <v>0</v>
      </c>
      <c r="AS62" s="256">
        <f t="shared" si="1"/>
        <v>0</v>
      </c>
      <c r="AT62" s="256">
        <f t="shared" si="1"/>
        <v>0</v>
      </c>
      <c r="AU62" s="256">
        <f t="shared" si="2"/>
        <v>0</v>
      </c>
      <c r="AV62" s="6"/>
      <c r="AW62" s="256">
        <f>+'[4]Metas'!S62:S77-S62</f>
        <v>0</v>
      </c>
      <c r="AX62" s="256">
        <f>+'[4]Metas'!T62:T77-T62</f>
        <v>0</v>
      </c>
      <c r="AY62" s="256">
        <f>+'[4]Metas'!U62:U77-U62</f>
        <v>0</v>
      </c>
      <c r="AZ62" s="256">
        <f>+'[4]Metas'!V62:V77-V62</f>
        <v>0</v>
      </c>
      <c r="BA62" s="6"/>
      <c r="BB62" s="6"/>
      <c r="BC62" s="6"/>
      <c r="BD62" s="6"/>
      <c r="BE62" s="262"/>
      <c r="BF62" s="262"/>
      <c r="BG62" s="262"/>
      <c r="BH62" s="262"/>
      <c r="BI62" s="262"/>
      <c r="BJ62" s="262"/>
      <c r="BN62" s="6"/>
      <c r="BO62" s="6"/>
      <c r="BP62" s="6"/>
      <c r="BQ62" s="6"/>
      <c r="BR62" s="6"/>
      <c r="BS62" s="6"/>
      <c r="BT62" s="6"/>
      <c r="BU62" s="6"/>
      <c r="BV62" s="6"/>
      <c r="BW62" s="6"/>
      <c r="BX62" s="6"/>
      <c r="BY62" s="6"/>
      <c r="BZ62" s="6"/>
      <c r="CA62" s="6"/>
      <c r="CB62" s="6"/>
      <c r="CC62" s="6"/>
      <c r="CD62" s="6"/>
      <c r="CE62" s="6"/>
    </row>
    <row r="63" spans="1:83" s="258" customFormat="1" ht="16.5" thickBot="1">
      <c r="A63" s="251"/>
      <c r="B63" s="251"/>
      <c r="C63" s="251"/>
      <c r="D63" s="251"/>
      <c r="E63" s="251"/>
      <c r="F63" s="251"/>
      <c r="G63" s="252"/>
      <c r="H63" s="395"/>
      <c r="I63" s="546"/>
      <c r="J63" s="401"/>
      <c r="K63" s="401"/>
      <c r="L63" s="272"/>
      <c r="M63" s="401"/>
      <c r="N63" s="546"/>
      <c r="O63" s="549"/>
      <c r="P63" s="552"/>
      <c r="Q63" s="534"/>
      <c r="R63" s="534"/>
      <c r="S63" s="534"/>
      <c r="T63" s="534"/>
      <c r="U63" s="534"/>
      <c r="V63" s="534"/>
      <c r="W63" s="555"/>
      <c r="X63" s="558"/>
      <c r="Y63" s="555"/>
      <c r="Z63" s="561"/>
      <c r="AA63" s="555"/>
      <c r="AB63" s="267" t="s">
        <v>227</v>
      </c>
      <c r="AC63" s="268"/>
      <c r="AD63" s="268"/>
      <c r="AE63" s="268"/>
      <c r="AF63" s="268"/>
      <c r="AG63" s="268"/>
      <c r="AH63" s="268"/>
      <c r="AI63" s="268"/>
      <c r="AJ63" s="268"/>
      <c r="AK63" s="268"/>
      <c r="AL63" s="268"/>
      <c r="AM63" s="268"/>
      <c r="AN63" s="268"/>
      <c r="AO63" s="268"/>
      <c r="AP63" s="268"/>
      <c r="AQ63" s="268">
        <f>+AC63+AE63+AG63+AI63+AK63+AM63+AO63</f>
        <v>0</v>
      </c>
      <c r="AR63" s="269">
        <f>+AD63+AF63+AH63+AJ63+AL63+AN63+AP63</f>
        <v>0</v>
      </c>
      <c r="AS63" s="256">
        <f t="shared" si="1"/>
        <v>0</v>
      </c>
      <c r="AT63" s="256">
        <f t="shared" si="1"/>
        <v>0</v>
      </c>
      <c r="AU63" s="256">
        <f t="shared" si="2"/>
        <v>0</v>
      </c>
      <c r="AV63" s="6"/>
      <c r="AW63" s="256">
        <f>+'[4]Metas'!S63:S78-S63</f>
        <v>0</v>
      </c>
      <c r="AX63" s="256">
        <f>+'[4]Metas'!T63:T78-T63</f>
        <v>0</v>
      </c>
      <c r="AY63" s="256">
        <f>+'[4]Metas'!U63:U78-U63</f>
        <v>0</v>
      </c>
      <c r="AZ63" s="256">
        <f>+'[4]Metas'!V63:V78-V63</f>
        <v>0</v>
      </c>
      <c r="BA63" s="6"/>
      <c r="BB63" s="6"/>
      <c r="BC63" s="6"/>
      <c r="BD63" s="6"/>
      <c r="BE63" s="262"/>
      <c r="BF63" s="262"/>
      <c r="BG63" s="262"/>
      <c r="BH63" s="262"/>
      <c r="BI63" s="262"/>
      <c r="BJ63" s="262"/>
      <c r="BN63" s="6"/>
      <c r="BO63" s="6"/>
      <c r="BP63" s="6"/>
      <c r="BQ63" s="6"/>
      <c r="BR63" s="6"/>
      <c r="BS63" s="6"/>
      <c r="BT63" s="6"/>
      <c r="BU63" s="6"/>
      <c r="BV63" s="6"/>
      <c r="BW63" s="6"/>
      <c r="BX63" s="6"/>
      <c r="BY63" s="6"/>
      <c r="BZ63" s="6"/>
      <c r="CA63" s="6"/>
      <c r="CB63" s="6"/>
      <c r="CC63" s="6"/>
      <c r="CD63" s="6"/>
      <c r="CE63" s="6"/>
    </row>
    <row r="64" spans="7:62" s="273" customFormat="1" ht="15">
      <c r="G64" s="274"/>
      <c r="H64" s="274"/>
      <c r="I64" s="274"/>
      <c r="J64" s="274"/>
      <c r="K64" s="274"/>
      <c r="L64" s="274"/>
      <c r="M64" s="274"/>
      <c r="N64" s="274"/>
      <c r="O64" s="274"/>
      <c r="P64" s="274"/>
      <c r="Q64" s="275">
        <f aca="true" t="shared" si="17" ref="Q64:V64">SUBTOTAL(9,Q16:Q63)</f>
        <v>87550000</v>
      </c>
      <c r="R64" s="275">
        <f t="shared" si="17"/>
        <v>87550000</v>
      </c>
      <c r="S64" s="275">
        <f t="shared" si="17"/>
        <v>87336400</v>
      </c>
      <c r="T64" s="275">
        <f t="shared" si="17"/>
        <v>32314468</v>
      </c>
      <c r="U64" s="275">
        <f t="shared" si="17"/>
        <v>29252300</v>
      </c>
      <c r="V64" s="275">
        <f t="shared" si="17"/>
        <v>29252300</v>
      </c>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56">
        <f t="shared" si="1"/>
        <v>213600</v>
      </c>
      <c r="AT64" s="256">
        <f t="shared" si="1"/>
        <v>55021932</v>
      </c>
      <c r="AU64" s="256">
        <f t="shared" si="2"/>
        <v>0</v>
      </c>
      <c r="AW64" s="256">
        <f>+'[4]Metas'!S64:S79-S64</f>
        <v>-15008080</v>
      </c>
      <c r="AX64" s="256">
        <f>+'[4]Metas'!T64:T79-T64</f>
        <v>23940892</v>
      </c>
      <c r="AY64" s="256">
        <f>+'[4]Metas'!U64:U79-U64</f>
        <v>6411320</v>
      </c>
      <c r="AZ64" s="256">
        <f>+'[4]Metas'!V64:V79-V64</f>
        <v>4594180</v>
      </c>
      <c r="BE64" s="275">
        <f aca="true" t="shared" si="18" ref="BE64:BJ64">SUBTOTAL(9,BE16:BE56)</f>
        <v>87550000</v>
      </c>
      <c r="BF64" s="275">
        <f t="shared" si="18"/>
        <v>87550000</v>
      </c>
      <c r="BG64" s="275">
        <f t="shared" si="18"/>
        <v>87336400</v>
      </c>
      <c r="BH64" s="275">
        <f t="shared" si="18"/>
        <v>32314468</v>
      </c>
      <c r="BI64" s="275">
        <f t="shared" si="18"/>
        <v>29252300</v>
      </c>
      <c r="BJ64" s="275">
        <f t="shared" si="18"/>
        <v>29252300</v>
      </c>
    </row>
    <row r="65" spans="17:62" ht="15">
      <c r="Q65" s="276"/>
      <c r="R65" s="276"/>
      <c r="S65" s="276"/>
      <c r="T65" s="276"/>
      <c r="U65" s="276"/>
      <c r="V65" s="277"/>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262"/>
      <c r="BG65" s="262"/>
      <c r="BH65" s="262"/>
      <c r="BI65" s="262"/>
      <c r="BJ65" s="262"/>
    </row>
    <row r="66" spans="17:57" ht="15">
      <c r="Q66" s="256"/>
      <c r="R66" s="256"/>
      <c r="S66" s="256"/>
      <c r="T66" s="256"/>
      <c r="U66" s="256"/>
      <c r="V66" s="278"/>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row>
    <row r="67" spans="20:57" ht="15">
      <c r="T67" s="279"/>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row>
    <row r="68" spans="18:57" ht="15">
      <c r="R68" s="280"/>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row>
    <row r="69" spans="28:57" ht="15">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row>
    <row r="70" spans="18:57" ht="15">
      <c r="R70" s="281"/>
      <c r="S70" s="282"/>
      <c r="T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row>
    <row r="71" spans="18:57" ht="15">
      <c r="R71" s="281"/>
      <c r="S71" s="282"/>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row>
    <row r="72" spans="18:57" ht="15">
      <c r="R72" s="281"/>
      <c r="S72" s="282"/>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row>
    <row r="73" spans="18:57" ht="15">
      <c r="R73" s="281"/>
      <c r="S73" s="282"/>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row>
    <row r="74" spans="18:57" ht="15">
      <c r="R74" s="281"/>
      <c r="S74" s="282"/>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row>
    <row r="75" spans="18:57" ht="15">
      <c r="R75" s="281"/>
      <c r="S75" s="282"/>
      <c r="U75" s="280"/>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row>
    <row r="76" spans="18:57" ht="15">
      <c r="R76" s="281"/>
      <c r="S76" s="282"/>
      <c r="U76" s="280"/>
      <c r="V76" s="283"/>
      <c r="X76" s="284"/>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row>
    <row r="77" spans="18:57" ht="15">
      <c r="R77" s="281"/>
      <c r="U77" s="280"/>
      <c r="V77" s="283"/>
      <c r="X77" s="284"/>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row>
    <row r="78" spans="18:57" ht="15">
      <c r="R78" s="281"/>
      <c r="U78" s="280"/>
      <c r="V78" s="283"/>
      <c r="X78" s="284"/>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row>
    <row r="79" spans="18:57" ht="15">
      <c r="R79" s="281"/>
      <c r="U79" s="280"/>
      <c r="V79" s="283"/>
      <c r="X79" s="284"/>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row>
    <row r="80" spans="21:57" ht="15">
      <c r="U80" s="280"/>
      <c r="V80" s="283"/>
      <c r="X80" s="284"/>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row>
    <row r="81" spans="21:57" ht="15">
      <c r="U81" s="280"/>
      <c r="V81" s="283"/>
      <c r="X81" s="284"/>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row>
    <row r="82" spans="21:57" ht="15">
      <c r="U82" s="280"/>
      <c r="V82" s="283"/>
      <c r="W82" s="285"/>
      <c r="X82" s="284"/>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row>
    <row r="83" spans="21:57" ht="15">
      <c r="U83" s="280"/>
      <c r="V83" s="283"/>
      <c r="W83" s="285"/>
      <c r="X83" s="284"/>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row>
    <row r="84" spans="18:57" ht="15">
      <c r="R84" s="280"/>
      <c r="U84" s="280"/>
      <c r="V84" s="283"/>
      <c r="W84" s="285"/>
      <c r="X84" s="284"/>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row>
    <row r="85" spans="21:57" ht="15">
      <c r="U85" s="280"/>
      <c r="V85" s="283"/>
      <c r="W85" s="285"/>
      <c r="X85" s="284"/>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row>
    <row r="86" spans="21:57" ht="15">
      <c r="U86" s="280"/>
      <c r="V86" s="283"/>
      <c r="W86" s="285"/>
      <c r="X86" s="284"/>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row>
    <row r="87" spans="18:57" ht="15">
      <c r="R87" s="50"/>
      <c r="U87" s="280"/>
      <c r="V87" s="283"/>
      <c r="W87" s="285"/>
      <c r="X87" s="284"/>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row>
    <row r="88" spans="21:57" ht="15">
      <c r="U88" s="280"/>
      <c r="V88" s="283"/>
      <c r="W88" s="285"/>
      <c r="X88" s="284"/>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row>
    <row r="89" spans="21:57" ht="15">
      <c r="U89" s="280"/>
      <c r="V89" s="283"/>
      <c r="W89" s="285"/>
      <c r="X89" s="284"/>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row>
    <row r="90" spans="21:57" ht="15">
      <c r="U90" s="280"/>
      <c r="V90" s="283"/>
      <c r="W90" s="285"/>
      <c r="X90" s="284"/>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row>
    <row r="91" spans="21:57" ht="15">
      <c r="U91" s="280"/>
      <c r="V91" s="283"/>
      <c r="W91" s="285"/>
      <c r="X91" s="284"/>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row>
    <row r="92" spans="21:57" ht="15">
      <c r="U92" s="280"/>
      <c r="V92" s="283"/>
      <c r="W92" s="285"/>
      <c r="X92" s="284"/>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row>
    <row r="93" spans="21:57" ht="15">
      <c r="U93" s="280"/>
      <c r="V93" s="283"/>
      <c r="W93" s="285"/>
      <c r="X93" s="284"/>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row>
    <row r="94" spans="28:57" ht="15">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row>
    <row r="95" spans="18:57" ht="15">
      <c r="R95" s="50"/>
      <c r="U95" s="285"/>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row>
    <row r="96" spans="21:57" ht="15">
      <c r="U96" s="285"/>
      <c r="V96" s="283"/>
      <c r="W96" s="280"/>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row>
    <row r="97" spans="21:57" ht="15">
      <c r="U97" s="285"/>
      <c r="V97" s="283"/>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row>
    <row r="98" spans="21:57" ht="15">
      <c r="U98" s="285"/>
      <c r="V98" s="283"/>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row>
    <row r="99" spans="21:57" ht="15">
      <c r="U99" s="285"/>
      <c r="V99" s="283"/>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row>
    <row r="100" spans="18:57" ht="15">
      <c r="R100" s="280"/>
      <c r="U100" s="285"/>
      <c r="V100" s="283"/>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row>
    <row r="101" spans="21:57" ht="15">
      <c r="U101" s="285"/>
      <c r="V101" s="283"/>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row>
    <row r="102" spans="21:57" ht="15">
      <c r="U102" s="280"/>
      <c r="V102" s="283"/>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row>
    <row r="103" spans="28:57" ht="15">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row>
    <row r="104" spans="18:57" ht="15">
      <c r="R104" s="50"/>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row>
    <row r="105" spans="21:57" ht="15">
      <c r="U105" s="285"/>
      <c r="V105" s="283"/>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row>
    <row r="106" spans="21:57" ht="15">
      <c r="U106" s="285"/>
      <c r="V106" s="283"/>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row>
    <row r="107" spans="21:57" ht="15">
      <c r="U107" s="285"/>
      <c r="V107" s="283"/>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row>
    <row r="108" spans="21:57" ht="15">
      <c r="U108" s="285"/>
      <c r="V108" s="283"/>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row>
    <row r="109" spans="21:57" ht="15">
      <c r="U109" s="285"/>
      <c r="V109" s="283"/>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row>
    <row r="110" spans="21:57" ht="15">
      <c r="U110" s="285"/>
      <c r="V110" s="283"/>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row>
    <row r="111" spans="22:57" ht="15">
      <c r="V111" s="283"/>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row>
    <row r="112" spans="28:57" ht="15">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row>
    <row r="113" spans="18:57" ht="15">
      <c r="R113" s="50"/>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row>
    <row r="114" spans="21:57" ht="15">
      <c r="U114" s="285"/>
      <c r="V114" s="283"/>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row>
    <row r="115" spans="21:57" ht="15">
      <c r="U115" s="285"/>
      <c r="V115" s="283"/>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row>
    <row r="116" spans="21:57" ht="15">
      <c r="U116" s="285"/>
      <c r="V116" s="283"/>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row>
    <row r="117" spans="21:57" ht="15">
      <c r="U117" s="285"/>
      <c r="V117" s="283"/>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row>
    <row r="118" spans="21:57" ht="15">
      <c r="U118" s="285"/>
      <c r="V118" s="283"/>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row>
    <row r="119" spans="21:57" ht="15">
      <c r="U119" s="285"/>
      <c r="V119" s="283"/>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row>
    <row r="120" spans="21:57" ht="15">
      <c r="U120" s="280"/>
      <c r="V120" s="283"/>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row>
    <row r="121" spans="28:57" ht="15">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row>
    <row r="122" spans="18:57" ht="15">
      <c r="R122" s="50"/>
      <c r="U122" s="285"/>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row>
    <row r="123" spans="21:57" ht="15">
      <c r="U123" s="285"/>
      <c r="V123" s="283"/>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row>
    <row r="124" spans="21:57" ht="15">
      <c r="U124" s="285"/>
      <c r="V124" s="283"/>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row>
    <row r="125" spans="21:57" ht="15">
      <c r="U125" s="285"/>
      <c r="V125" s="283"/>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row>
    <row r="126" spans="21:57" ht="15">
      <c r="U126" s="285"/>
      <c r="V126" s="283"/>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row>
    <row r="127" spans="21:57" ht="15">
      <c r="U127" s="285"/>
      <c r="V127" s="283"/>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row>
    <row r="128" spans="21:57" ht="15">
      <c r="U128" s="285"/>
      <c r="V128" s="283"/>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row>
    <row r="129" spans="21:57" ht="15">
      <c r="U129" s="285"/>
      <c r="V129" s="283"/>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row>
    <row r="130" spans="22:57" ht="15">
      <c r="V130" s="283"/>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row>
    <row r="131" spans="18:57" ht="15">
      <c r="R131" s="50"/>
      <c r="U131" s="285"/>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row>
    <row r="132" spans="18:22" ht="15">
      <c r="R132" s="280"/>
      <c r="U132" s="285"/>
      <c r="V132" s="283"/>
    </row>
    <row r="133" spans="21:22" ht="15">
      <c r="U133" s="285"/>
      <c r="V133" s="283"/>
    </row>
    <row r="134" spans="21:22" ht="15">
      <c r="U134" s="285"/>
      <c r="V134" s="283"/>
    </row>
    <row r="135" spans="21:22" ht="15">
      <c r="U135" s="285"/>
      <c r="V135" s="283"/>
    </row>
    <row r="136" spans="21:22" ht="15">
      <c r="U136" s="285"/>
      <c r="V136" s="283"/>
    </row>
    <row r="137" spans="21:22" ht="15">
      <c r="U137" s="285"/>
      <c r="V137" s="283"/>
    </row>
    <row r="138" spans="21:22" ht="15">
      <c r="U138" s="285"/>
      <c r="V138" s="283"/>
    </row>
    <row r="141" spans="18:21" ht="15">
      <c r="R141" s="50"/>
      <c r="U141" s="285"/>
    </row>
    <row r="142" spans="21:22" ht="15">
      <c r="U142" s="285"/>
      <c r="V142" s="280"/>
    </row>
    <row r="143" spans="21:22" ht="15">
      <c r="U143" s="285"/>
      <c r="V143" s="280"/>
    </row>
    <row r="144" spans="21:22" ht="15">
      <c r="U144" s="285"/>
      <c r="V144" s="280"/>
    </row>
    <row r="145" spans="21:22" ht="15">
      <c r="U145" s="285"/>
      <c r="V145" s="280"/>
    </row>
    <row r="146" spans="21:22" ht="15">
      <c r="U146" s="285"/>
      <c r="V146" s="280"/>
    </row>
    <row r="147" spans="21:22" ht="15">
      <c r="U147" s="285"/>
      <c r="V147" s="280"/>
    </row>
    <row r="148" spans="18:22" ht="15">
      <c r="R148" s="280"/>
      <c r="U148" s="285"/>
      <c r="V148" s="280"/>
    </row>
    <row r="150" ht="15">
      <c r="R150" s="280"/>
    </row>
    <row r="151" spans="18:21" ht="15">
      <c r="R151" s="50"/>
      <c r="U151" s="285"/>
    </row>
    <row r="152" spans="21:22" ht="15">
      <c r="U152" s="285"/>
      <c r="V152" s="280"/>
    </row>
    <row r="153" spans="21:22" ht="15">
      <c r="U153" s="285"/>
      <c r="V153" s="280"/>
    </row>
    <row r="154" spans="21:22" ht="15">
      <c r="U154" s="285"/>
      <c r="V154" s="280"/>
    </row>
    <row r="155" spans="21:22" ht="15">
      <c r="U155" s="285"/>
      <c r="V155" s="280"/>
    </row>
    <row r="156" spans="21:22" ht="15">
      <c r="U156" s="285"/>
      <c r="V156" s="280"/>
    </row>
    <row r="157" spans="21:22" ht="15">
      <c r="U157" s="285"/>
      <c r="V157" s="280"/>
    </row>
    <row r="158" spans="21:22" ht="15">
      <c r="U158" s="285"/>
      <c r="V158" s="280"/>
    </row>
    <row r="159" ht="15">
      <c r="U159" s="280"/>
    </row>
    <row r="160" spans="18:21" ht="15">
      <c r="R160" s="50"/>
      <c r="U160" s="285"/>
    </row>
    <row r="161" spans="21:22" ht="15">
      <c r="U161" s="285"/>
      <c r="V161" s="280"/>
    </row>
    <row r="162" spans="21:22" ht="15">
      <c r="U162" s="285"/>
      <c r="V162" s="280"/>
    </row>
    <row r="163" spans="21:22" ht="15">
      <c r="U163" s="285"/>
      <c r="V163" s="280"/>
    </row>
    <row r="164" spans="21:22" ht="15">
      <c r="U164" s="285"/>
      <c r="V164" s="280"/>
    </row>
    <row r="165" spans="21:22" ht="15">
      <c r="U165" s="285"/>
      <c r="V165" s="280"/>
    </row>
    <row r="166" spans="21:22" ht="15">
      <c r="U166" s="285"/>
      <c r="V166" s="280"/>
    </row>
    <row r="167" spans="21:22" ht="15">
      <c r="U167" s="285"/>
      <c r="V167" s="280"/>
    </row>
    <row r="169" spans="18:21" ht="15">
      <c r="R169" s="50"/>
      <c r="U169" s="285"/>
    </row>
    <row r="170" spans="21:22" ht="15">
      <c r="U170" s="285"/>
      <c r="V170" s="280"/>
    </row>
    <row r="171" spans="21:22" ht="15">
      <c r="U171" s="285"/>
      <c r="V171" s="280"/>
    </row>
    <row r="172" spans="21:22" ht="15">
      <c r="U172" s="285"/>
      <c r="V172" s="280"/>
    </row>
    <row r="173" spans="21:22" ht="15">
      <c r="U173" s="285"/>
      <c r="V173" s="280"/>
    </row>
    <row r="174" spans="21:22" ht="15">
      <c r="U174" s="285"/>
      <c r="V174" s="280"/>
    </row>
    <row r="175" spans="21:22" ht="15">
      <c r="U175" s="285"/>
      <c r="V175" s="280"/>
    </row>
    <row r="176" spans="21:22" ht="15">
      <c r="U176" s="285"/>
      <c r="V176" s="280"/>
    </row>
    <row r="177" spans="21:22" ht="15">
      <c r="U177" s="285"/>
      <c r="V177" s="280"/>
    </row>
    <row r="178" spans="21:22" ht="15">
      <c r="U178" s="285"/>
      <c r="V178" s="280"/>
    </row>
    <row r="179" spans="21:22" ht="15">
      <c r="U179" s="280"/>
      <c r="V179" s="283"/>
    </row>
    <row r="180" spans="21:22" ht="15">
      <c r="U180" s="280"/>
      <c r="V180" s="283"/>
    </row>
    <row r="181" spans="18:22" ht="15">
      <c r="R181" s="50"/>
      <c r="U181" s="280"/>
      <c r="V181" s="283"/>
    </row>
    <row r="182" spans="21:22" ht="15">
      <c r="U182" s="280"/>
      <c r="V182" s="283"/>
    </row>
    <row r="183" spans="21:22" ht="15">
      <c r="U183" s="280"/>
      <c r="V183" s="283"/>
    </row>
    <row r="184" spans="21:22" ht="15">
      <c r="U184" s="280"/>
      <c r="V184" s="283"/>
    </row>
    <row r="185" spans="21:22" ht="15">
      <c r="U185" s="280"/>
      <c r="V185" s="283"/>
    </row>
    <row r="186" spans="21:22" ht="15">
      <c r="U186" s="280"/>
      <c r="V186" s="283"/>
    </row>
    <row r="187" spans="21:22" ht="15">
      <c r="U187" s="285"/>
      <c r="V187" s="280"/>
    </row>
    <row r="188" spans="21:22" ht="15">
      <c r="U188" s="285"/>
      <c r="V188" s="280"/>
    </row>
    <row r="189" spans="21:22" ht="15">
      <c r="U189" s="280"/>
      <c r="V189" s="283"/>
    </row>
    <row r="190" spans="21:22" ht="15">
      <c r="U190" s="280"/>
      <c r="V190" s="283"/>
    </row>
    <row r="191" spans="18:22" ht="15">
      <c r="R191" s="50"/>
      <c r="U191" s="280"/>
      <c r="V191" s="283"/>
    </row>
    <row r="192" spans="21:22" ht="15">
      <c r="U192" s="280"/>
      <c r="V192" s="283"/>
    </row>
    <row r="193" spans="21:22" ht="15">
      <c r="U193" s="280"/>
      <c r="V193" s="283"/>
    </row>
    <row r="194" spans="21:22" ht="15">
      <c r="U194" s="280"/>
      <c r="V194" s="283"/>
    </row>
    <row r="195" spans="21:22" ht="15">
      <c r="U195" s="280"/>
      <c r="V195" s="283"/>
    </row>
    <row r="196" spans="21:22" ht="15">
      <c r="U196" s="280"/>
      <c r="V196" s="283"/>
    </row>
    <row r="197" spans="21:22" ht="15">
      <c r="U197" s="285"/>
      <c r="V197" s="280"/>
    </row>
    <row r="198" spans="21:22" ht="15">
      <c r="U198" s="285"/>
      <c r="V198" s="280"/>
    </row>
    <row r="201" spans="18:21" ht="15">
      <c r="R201" s="50"/>
      <c r="U201" s="285"/>
    </row>
    <row r="202" spans="18:22" ht="15">
      <c r="R202" s="50"/>
      <c r="U202" s="285"/>
      <c r="V202" s="280"/>
    </row>
    <row r="203" spans="18:22" ht="15">
      <c r="R203" s="50"/>
      <c r="U203" s="285"/>
      <c r="V203" s="280"/>
    </row>
    <row r="204" spans="18:22" ht="15">
      <c r="R204" s="50"/>
      <c r="U204" s="285"/>
      <c r="V204" s="280"/>
    </row>
    <row r="205" spans="18:22" ht="15">
      <c r="R205" s="50"/>
      <c r="U205" s="285"/>
      <c r="V205" s="280"/>
    </row>
    <row r="206" spans="18:22" ht="15">
      <c r="R206" s="50"/>
      <c r="U206" s="285"/>
      <c r="V206" s="280"/>
    </row>
    <row r="207" spans="18:22" ht="15">
      <c r="R207" s="50"/>
      <c r="U207" s="285"/>
      <c r="V207" s="280"/>
    </row>
    <row r="208" spans="18:22" ht="15">
      <c r="R208" s="50"/>
      <c r="U208" s="285"/>
      <c r="V208" s="280"/>
    </row>
    <row r="209" ht="15">
      <c r="R209" s="50"/>
    </row>
    <row r="210" ht="15">
      <c r="R210" s="50"/>
    </row>
    <row r="211" spans="18:21" ht="15">
      <c r="R211" s="50"/>
      <c r="U211" s="285"/>
    </row>
    <row r="212" spans="18:22" ht="15">
      <c r="R212" s="50"/>
      <c r="U212" s="285"/>
      <c r="V212" s="280"/>
    </row>
    <row r="213" spans="18:22" ht="15">
      <c r="R213" s="50"/>
      <c r="U213" s="285"/>
      <c r="V213" s="280"/>
    </row>
    <row r="214" spans="18:22" ht="15">
      <c r="R214" s="50"/>
      <c r="U214" s="285"/>
      <c r="V214" s="280"/>
    </row>
    <row r="215" spans="18:22" ht="15">
      <c r="R215" s="50"/>
      <c r="U215" s="285"/>
      <c r="V215" s="280"/>
    </row>
    <row r="216" spans="18:22" ht="15">
      <c r="R216" s="50"/>
      <c r="U216" s="285"/>
      <c r="V216" s="280"/>
    </row>
    <row r="217" spans="18:22" ht="15">
      <c r="R217" s="50"/>
      <c r="U217" s="285"/>
      <c r="V217" s="280"/>
    </row>
    <row r="218" spans="18:22" ht="15">
      <c r="R218" s="50"/>
      <c r="U218" s="285"/>
      <c r="V218" s="280"/>
    </row>
    <row r="219" ht="15">
      <c r="R219" s="50"/>
    </row>
    <row r="220" ht="15">
      <c r="R220" s="50"/>
    </row>
    <row r="221" spans="18:21" ht="15">
      <c r="R221" s="50"/>
      <c r="U221" s="285"/>
    </row>
    <row r="222" spans="18:22" ht="15">
      <c r="R222" s="50"/>
      <c r="U222" s="285"/>
      <c r="V222" s="280"/>
    </row>
    <row r="223" spans="18:22" ht="15">
      <c r="R223" s="50"/>
      <c r="U223" s="285"/>
      <c r="V223" s="280"/>
    </row>
    <row r="224" spans="18:22" ht="15">
      <c r="R224" s="50"/>
      <c r="U224" s="285"/>
      <c r="V224" s="280"/>
    </row>
    <row r="225" spans="18:22" ht="15">
      <c r="R225" s="50"/>
      <c r="U225" s="285"/>
      <c r="V225" s="280"/>
    </row>
    <row r="226" spans="18:22" ht="15">
      <c r="R226" s="50"/>
      <c r="U226" s="285"/>
      <c r="V226" s="280"/>
    </row>
    <row r="227" spans="18:22" ht="15">
      <c r="R227" s="50"/>
      <c r="U227" s="285"/>
      <c r="V227" s="280"/>
    </row>
    <row r="228" spans="18:22" ht="15">
      <c r="R228" s="50"/>
      <c r="U228" s="285"/>
      <c r="V228" s="280"/>
    </row>
    <row r="229" ht="15">
      <c r="R229" s="50"/>
    </row>
    <row r="230" ht="15">
      <c r="R230" s="50"/>
    </row>
    <row r="231" spans="18:21" ht="15">
      <c r="R231" s="50"/>
      <c r="U231" s="285"/>
    </row>
    <row r="232" spans="21:22" ht="15">
      <c r="U232" s="285"/>
      <c r="V232" s="280"/>
    </row>
    <row r="233" spans="21:22" ht="15">
      <c r="U233" s="285"/>
      <c r="V233" s="280"/>
    </row>
    <row r="234" spans="21:22" ht="15">
      <c r="U234" s="285"/>
      <c r="V234" s="280"/>
    </row>
    <row r="235" spans="21:22" ht="15">
      <c r="U235" s="285"/>
      <c r="V235" s="280"/>
    </row>
    <row r="236" spans="21:22" ht="15">
      <c r="U236" s="285"/>
      <c r="V236" s="280"/>
    </row>
    <row r="237" spans="21:22" ht="15">
      <c r="U237" s="285"/>
      <c r="V237" s="280"/>
    </row>
    <row r="238" spans="21:22" ht="15">
      <c r="U238" s="285"/>
      <c r="V238" s="280"/>
    </row>
    <row r="241" spans="18:21" ht="15">
      <c r="R241" s="50"/>
      <c r="U241" s="285"/>
    </row>
    <row r="242" spans="21:22" ht="15">
      <c r="U242" s="285"/>
      <c r="V242" s="280"/>
    </row>
    <row r="243" spans="21:22" ht="15">
      <c r="U243" s="285"/>
      <c r="V243" s="280"/>
    </row>
    <row r="244" spans="21:22" ht="15">
      <c r="U244" s="285"/>
      <c r="V244" s="280"/>
    </row>
    <row r="245" spans="21:22" ht="15">
      <c r="U245" s="285"/>
      <c r="V245" s="280"/>
    </row>
    <row r="246" spans="21:22" ht="15">
      <c r="U246" s="285"/>
      <c r="V246" s="280"/>
    </row>
    <row r="247" spans="21:22" ht="15">
      <c r="U247" s="285"/>
      <c r="V247" s="280"/>
    </row>
    <row r="248" spans="21:22" ht="15">
      <c r="U248" s="285"/>
      <c r="V248" s="280"/>
    </row>
    <row r="250" spans="18:21" ht="15">
      <c r="R250" s="50"/>
      <c r="U250" s="285"/>
    </row>
    <row r="251" spans="21:22" ht="15">
      <c r="U251" s="285"/>
      <c r="V251" s="280"/>
    </row>
    <row r="252" spans="21:22" ht="15">
      <c r="U252" s="285"/>
      <c r="V252" s="280"/>
    </row>
    <row r="253" spans="21:22" ht="15">
      <c r="U253" s="285"/>
      <c r="V253" s="280"/>
    </row>
    <row r="254" spans="21:22" ht="15">
      <c r="U254" s="285"/>
      <c r="V254" s="280"/>
    </row>
    <row r="255" spans="21:22" ht="15">
      <c r="U255" s="285"/>
      <c r="V255" s="280"/>
    </row>
    <row r="256" spans="21:22" ht="15">
      <c r="U256" s="285"/>
      <c r="V256" s="280"/>
    </row>
    <row r="257" spans="21:22" ht="15">
      <c r="U257" s="285"/>
      <c r="V257" s="280"/>
    </row>
    <row r="260" spans="18:21" ht="15">
      <c r="R260" s="50"/>
      <c r="U260" s="285"/>
    </row>
    <row r="261" spans="21:22" ht="15">
      <c r="U261" s="285"/>
      <c r="V261" s="280"/>
    </row>
    <row r="262" spans="21:22" ht="15">
      <c r="U262" s="285"/>
      <c r="V262" s="280"/>
    </row>
    <row r="263" spans="21:22" ht="15">
      <c r="U263" s="285"/>
      <c r="V263" s="280"/>
    </row>
    <row r="264" spans="21:22" ht="15">
      <c r="U264" s="285"/>
      <c r="V264" s="280"/>
    </row>
    <row r="265" spans="21:22" ht="15">
      <c r="U265" s="285"/>
      <c r="V265" s="280"/>
    </row>
    <row r="266" spans="21:22" ht="15">
      <c r="U266" s="285"/>
      <c r="V266" s="280"/>
    </row>
    <row r="267" spans="21:22" ht="15">
      <c r="U267" s="285"/>
      <c r="V267" s="280"/>
    </row>
    <row r="270" ht="15">
      <c r="U270" s="285"/>
    </row>
    <row r="271" spans="21:22" ht="15">
      <c r="U271" s="285"/>
      <c r="V271" s="280"/>
    </row>
    <row r="272" spans="21:22" ht="15">
      <c r="U272" s="285"/>
      <c r="V272" s="280"/>
    </row>
    <row r="273" spans="21:22" ht="15">
      <c r="U273" s="285"/>
      <c r="V273" s="280"/>
    </row>
    <row r="274" spans="21:22" ht="15">
      <c r="U274" s="285"/>
      <c r="V274" s="280"/>
    </row>
    <row r="275" spans="21:22" ht="15">
      <c r="U275" s="285"/>
      <c r="V275" s="280"/>
    </row>
    <row r="276" spans="21:22" ht="15">
      <c r="U276" s="285"/>
      <c r="V276" s="280"/>
    </row>
    <row r="277" spans="21:22" ht="15">
      <c r="U277" s="285"/>
      <c r="V277" s="280"/>
    </row>
    <row r="279" ht="15">
      <c r="U279" s="286"/>
    </row>
    <row r="280" spans="19:20" ht="15">
      <c r="S280" s="285"/>
      <c r="T280" s="286"/>
    </row>
    <row r="281" spans="19:20" ht="15">
      <c r="S281" s="285"/>
      <c r="T281" s="286"/>
    </row>
    <row r="282" spans="19:20" ht="15">
      <c r="S282" s="285"/>
      <c r="T282" s="286"/>
    </row>
    <row r="283" spans="19:20" ht="15">
      <c r="S283" s="285"/>
      <c r="T283" s="286"/>
    </row>
    <row r="284" spans="19:20" ht="15">
      <c r="S284" s="285"/>
      <c r="T284" s="286"/>
    </row>
    <row r="285" spans="19:20" ht="15">
      <c r="S285" s="285"/>
      <c r="T285" s="286"/>
    </row>
    <row r="286" ht="15">
      <c r="S286" s="285"/>
    </row>
    <row r="288" ht="15">
      <c r="U288" s="280"/>
    </row>
    <row r="290" ht="15">
      <c r="U290" s="286"/>
    </row>
    <row r="291" ht="15">
      <c r="U291" s="286"/>
    </row>
    <row r="292" ht="15">
      <c r="U292" s="286"/>
    </row>
    <row r="293" spans="21:22" ht="15">
      <c r="U293" s="286"/>
      <c r="V293" s="287"/>
    </row>
    <row r="294" spans="21:22" ht="15">
      <c r="U294" s="286"/>
      <c r="V294" s="287"/>
    </row>
    <row r="295" spans="21:22" ht="15">
      <c r="U295" s="286"/>
      <c r="V295" s="287"/>
    </row>
    <row r="296" spans="21:22" ht="15">
      <c r="U296" s="286"/>
      <c r="V296" s="287"/>
    </row>
    <row r="297" spans="21:22" ht="15">
      <c r="U297" s="286"/>
      <c r="V297" s="287"/>
    </row>
    <row r="298" spans="21:22" ht="15">
      <c r="U298" s="286"/>
      <c r="V298" s="287"/>
    </row>
    <row r="299" spans="21:22" ht="15">
      <c r="U299" s="286"/>
      <c r="V299" s="287"/>
    </row>
    <row r="301" ht="15">
      <c r="X301" s="286"/>
    </row>
    <row r="302" ht="15">
      <c r="X302" s="286"/>
    </row>
    <row r="303" ht="15">
      <c r="X303" s="286"/>
    </row>
    <row r="304" ht="15">
      <c r="X304" s="286"/>
    </row>
    <row r="305" ht="15">
      <c r="X305" s="286"/>
    </row>
    <row r="306" ht="15">
      <c r="X306" s="286"/>
    </row>
    <row r="307" ht="15">
      <c r="X307" s="286"/>
    </row>
    <row r="308" ht="15">
      <c r="X308" s="286"/>
    </row>
    <row r="309" ht="15">
      <c r="X309" s="286"/>
    </row>
    <row r="310" ht="15">
      <c r="X310" s="286"/>
    </row>
    <row r="311" ht="15">
      <c r="X311" s="286"/>
    </row>
    <row r="312" ht="15">
      <c r="X312" s="286"/>
    </row>
    <row r="313" ht="15.75" thickBot="1"/>
    <row r="314" spans="19:20" ht="15.75" thickBot="1">
      <c r="S314" s="288"/>
      <c r="T314" s="289"/>
    </row>
    <row r="315" spans="20:25" ht="15">
      <c r="T315" s="289"/>
      <c r="V315" s="280"/>
      <c r="X315" s="285"/>
      <c r="Y315" s="278"/>
    </row>
    <row r="316" spans="20:25" ht="15">
      <c r="T316" s="289"/>
      <c r="V316" s="280"/>
      <c r="X316" s="285"/>
      <c r="Y316" s="278"/>
    </row>
    <row r="317" spans="20:25" ht="15">
      <c r="T317" s="289"/>
      <c r="V317" s="280"/>
      <c r="X317" s="285"/>
      <c r="Y317" s="278"/>
    </row>
    <row r="318" spans="20:25" ht="15">
      <c r="T318" s="289"/>
      <c r="V318" s="280"/>
      <c r="X318" s="285"/>
      <c r="Y318" s="278"/>
    </row>
    <row r="319" spans="20:25" ht="15">
      <c r="T319" s="289"/>
      <c r="V319" s="280"/>
      <c r="X319" s="285"/>
      <c r="Y319" s="278"/>
    </row>
    <row r="320" spans="20:25" ht="15">
      <c r="T320" s="289"/>
      <c r="V320" s="280"/>
      <c r="X320" s="285"/>
      <c r="Y320" s="278"/>
    </row>
    <row r="321" ht="15">
      <c r="T321" s="289"/>
    </row>
    <row r="322" spans="24:25" ht="15">
      <c r="X322" s="278"/>
      <c r="Y322" s="278"/>
    </row>
    <row r="323" spans="24:25" ht="15">
      <c r="X323" s="278"/>
      <c r="Y323" s="278"/>
    </row>
    <row r="324" spans="24:25" ht="15">
      <c r="X324" s="278"/>
      <c r="Y324" s="278"/>
    </row>
    <row r="325" spans="20:25" ht="15">
      <c r="T325" s="289"/>
      <c r="U325" s="280"/>
      <c r="X325" s="278"/>
      <c r="Y325" s="278"/>
    </row>
    <row r="326" spans="20:25" ht="15">
      <c r="T326" s="289"/>
      <c r="U326" s="280"/>
      <c r="X326" s="278"/>
      <c r="Y326" s="278"/>
    </row>
    <row r="327" spans="20:25" ht="15">
      <c r="T327" s="289"/>
      <c r="U327" s="280"/>
      <c r="X327" s="278"/>
      <c r="Y327" s="278"/>
    </row>
    <row r="328" spans="20:21" ht="15">
      <c r="T328" s="289"/>
      <c r="U328" s="280"/>
    </row>
    <row r="329" spans="20:21" ht="15">
      <c r="T329" s="289"/>
      <c r="U329" s="280"/>
    </row>
    <row r="330" spans="20:23" ht="15">
      <c r="T330" s="289"/>
      <c r="U330" s="280"/>
      <c r="W330" s="239"/>
    </row>
    <row r="331" ht="15">
      <c r="T331" s="289"/>
    </row>
    <row r="337" ht="15">
      <c r="V337" s="239"/>
    </row>
    <row r="339" ht="15.75" thickBot="1"/>
    <row r="340" ht="15.75" thickBot="1">
      <c r="V340" s="290"/>
    </row>
  </sheetData>
  <sheetProtection/>
  <autoFilter ref="A15:AA63"/>
  <mergeCells count="92">
    <mergeCell ref="X48:X63"/>
    <mergeCell ref="Y48:Y63"/>
    <mergeCell ref="Z48:Z63"/>
    <mergeCell ref="AA48:AA63"/>
    <mergeCell ref="R48:R63"/>
    <mergeCell ref="S48:S63"/>
    <mergeCell ref="T48:T63"/>
    <mergeCell ref="U48:U63"/>
    <mergeCell ref="V48:V63"/>
    <mergeCell ref="W48:W63"/>
    <mergeCell ref="AA32:AA47"/>
    <mergeCell ref="H48:H63"/>
    <mergeCell ref="I48:I63"/>
    <mergeCell ref="J48:J63"/>
    <mergeCell ref="K48:K63"/>
    <mergeCell ref="M48:M63"/>
    <mergeCell ref="N48:N63"/>
    <mergeCell ref="O48:O63"/>
    <mergeCell ref="P48:P63"/>
    <mergeCell ref="Q48:Q63"/>
    <mergeCell ref="U32:U47"/>
    <mergeCell ref="V32:V47"/>
    <mergeCell ref="W32:W47"/>
    <mergeCell ref="X32:X47"/>
    <mergeCell ref="Y32:Y47"/>
    <mergeCell ref="Z32:Z47"/>
    <mergeCell ref="O32:O47"/>
    <mergeCell ref="P32:P47"/>
    <mergeCell ref="Q32:Q47"/>
    <mergeCell ref="R32:R47"/>
    <mergeCell ref="S32:S47"/>
    <mergeCell ref="T32:T47"/>
    <mergeCell ref="Y16:Y31"/>
    <mergeCell ref="Z16:Z31"/>
    <mergeCell ref="AA16:AA31"/>
    <mergeCell ref="H32:H47"/>
    <mergeCell ref="I32:I47"/>
    <mergeCell ref="J32:J47"/>
    <mergeCell ref="K32:K47"/>
    <mergeCell ref="L32:L47"/>
    <mergeCell ref="M32:M47"/>
    <mergeCell ref="N32:N47"/>
    <mergeCell ref="S16:S31"/>
    <mergeCell ref="T16:T31"/>
    <mergeCell ref="U16:U31"/>
    <mergeCell ref="V16:V31"/>
    <mergeCell ref="W16:W31"/>
    <mergeCell ref="X16:X31"/>
    <mergeCell ref="M16:M31"/>
    <mergeCell ref="N16:N31"/>
    <mergeCell ref="O16:O31"/>
    <mergeCell ref="P16:P31"/>
    <mergeCell ref="Q16:Q31"/>
    <mergeCell ref="R16:R31"/>
    <mergeCell ref="AO14:AP14"/>
    <mergeCell ref="AQ14:AR14"/>
    <mergeCell ref="BE14:BF14"/>
    <mergeCell ref="BG14:BH14"/>
    <mergeCell ref="BI14:BJ14"/>
    <mergeCell ref="H16:H31"/>
    <mergeCell ref="I16:I31"/>
    <mergeCell ref="J16:J31"/>
    <mergeCell ref="K16:K31"/>
    <mergeCell ref="L16:L31"/>
    <mergeCell ref="AC14:AD14"/>
    <mergeCell ref="AE14:AF14"/>
    <mergeCell ref="AG14:AH14"/>
    <mergeCell ref="AI14:AJ14"/>
    <mergeCell ref="AK14:AL14"/>
    <mergeCell ref="AM14:AN14"/>
    <mergeCell ref="W14:W15"/>
    <mergeCell ref="X14:X15"/>
    <mergeCell ref="Y14:Y15"/>
    <mergeCell ref="Z14:Z15"/>
    <mergeCell ref="AA14:AA15"/>
    <mergeCell ref="AB14:AB15"/>
    <mergeCell ref="AK1:AN8"/>
    <mergeCell ref="AO1:AQ8"/>
    <mergeCell ref="G14:G15"/>
    <mergeCell ref="H14:H15"/>
    <mergeCell ref="I14:I15"/>
    <mergeCell ref="J14:L14"/>
    <mergeCell ref="O14:P14"/>
    <mergeCell ref="Q14:R14"/>
    <mergeCell ref="S14:T14"/>
    <mergeCell ref="U14:V14"/>
    <mergeCell ref="A1:D8"/>
    <mergeCell ref="E1:N8"/>
    <mergeCell ref="O1:R8"/>
    <mergeCell ref="S1:U8"/>
    <mergeCell ref="W1:Y8"/>
    <mergeCell ref="Z1:AJ8"/>
  </mergeCells>
  <conditionalFormatting sqref="Q64:T64 BE64:BJ64">
    <cfRule type="cellIs" priority="4" dxfId="10" operator="notEqual" stopIfTrue="1">
      <formula>#REF!</formula>
    </cfRule>
  </conditionalFormatting>
  <conditionalFormatting sqref="Q16:V63">
    <cfRule type="cellIs" priority="3" dxfId="11" operator="notEqual" stopIfTrue="1">
      <formula>BE16</formula>
    </cfRule>
  </conditionalFormatting>
  <conditionalFormatting sqref="H16:H63">
    <cfRule type="containsText" priority="1" dxfId="1" operator="containsText" stopIfTrue="1" text="X">
      <formula>NOT(ISERROR(SEARCH("X",H16)))</formula>
    </cfRule>
    <cfRule type="containsText" priority="2" dxfId="0" operator="containsText" stopIfTrue="1" text="X">
      <formula>NOT(ISERROR(SEARCH("X",H16)))</formula>
    </cfRule>
  </conditionalFormatting>
  <dataValidations count="1">
    <dataValidation type="whole" allowBlank="1" showInputMessage="1" showErrorMessage="1" sqref="AC16:AR63">
      <formula1>0</formula1>
      <formula2>99999999999</formula2>
    </dataValidation>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Hoja7">
    <tabColor rgb="FF00B0F0"/>
  </sheetPr>
  <dimension ref="A1:BF31"/>
  <sheetViews>
    <sheetView showGridLines="0" zoomScalePageLayoutView="0" workbookViewId="0" topLeftCell="C10">
      <selection activeCell="P16" sqref="P16:P31"/>
    </sheetView>
  </sheetViews>
  <sheetFormatPr defaultColWidth="11.421875" defaultRowHeight="15" customHeight="1" zeroHeight="1" outlineLevelRow="2"/>
  <cols>
    <col min="1" max="1" width="3.7109375" style="5" hidden="1" customWidth="1"/>
    <col min="2" max="2" width="4.8515625" style="5" hidden="1" customWidth="1"/>
    <col min="3" max="3" width="10.140625" style="5" customWidth="1"/>
    <col min="4" max="4" width="27.7109375" style="5" customWidth="1"/>
    <col min="5" max="5" width="6.8515625" style="5" hidden="1" customWidth="1"/>
    <col min="6" max="6" width="38.00390625" style="5" customWidth="1"/>
    <col min="7" max="7" width="11.421875" style="5" customWidth="1"/>
    <col min="8" max="8" width="9.00390625" style="5" customWidth="1"/>
    <col min="9" max="9" width="10.28125" style="5" customWidth="1"/>
    <col min="10" max="10" width="20.57421875" style="5" customWidth="1"/>
    <col min="11" max="11" width="11.421875" style="5" customWidth="1"/>
    <col min="12" max="12" width="11.421875" style="209" customWidth="1"/>
    <col min="13" max="13" width="20.57421875" style="5" customWidth="1"/>
    <col min="14" max="14" width="21.00390625" style="5" customWidth="1"/>
    <col min="15" max="15" width="21.421875" style="5" customWidth="1"/>
    <col min="16" max="16" width="22.00390625" style="5" customWidth="1"/>
    <col min="17" max="17" width="26.28125" style="5" customWidth="1"/>
    <col min="18" max="18" width="24.421875" style="5" customWidth="1"/>
    <col min="19" max="20" width="50.7109375" style="5" customWidth="1"/>
    <col min="21" max="21" width="19.421875" style="5" customWidth="1"/>
    <col min="22" max="22" width="19.8515625" style="5" customWidth="1"/>
    <col min="23" max="23" width="9.7109375" style="5" customWidth="1"/>
    <col min="24" max="25" width="15.7109375" style="5" customWidth="1"/>
    <col min="26" max="26" width="9.7109375" style="5" customWidth="1"/>
    <col min="27" max="28" width="15.7109375" style="5" customWidth="1"/>
    <col min="29" max="29" width="9.7109375" style="5" customWidth="1"/>
    <col min="30" max="31" width="15.7109375" style="5" customWidth="1"/>
    <col min="32" max="32" width="9.7109375" style="5" customWidth="1"/>
    <col min="33" max="34" width="15.7109375" style="5" customWidth="1"/>
    <col min="35" max="35" width="9.7109375" style="5" customWidth="1"/>
    <col min="36" max="37" width="15.7109375" style="5" customWidth="1"/>
    <col min="38" max="38" width="9.7109375" style="5" customWidth="1"/>
    <col min="39" max="40" width="15.7109375" style="5" customWidth="1"/>
    <col min="41" max="41" width="9.7109375" style="5" customWidth="1"/>
    <col min="42" max="43" width="15.7109375" style="5" customWidth="1"/>
    <col min="44" max="44" width="9.7109375" style="5" customWidth="1"/>
    <col min="45" max="53" width="11.421875" style="5" customWidth="1"/>
    <col min="54" max="54" width="5.421875" style="5" customWidth="1"/>
    <col min="55" max="16384" width="11.421875" style="5" customWidth="1"/>
  </cols>
  <sheetData>
    <row r="1" spans="1:51" s="153" customFormat="1" ht="14.25" customHeight="1">
      <c r="A1" s="466"/>
      <c r="B1" s="467"/>
      <c r="C1" s="497"/>
      <c r="D1" s="500" t="s">
        <v>228</v>
      </c>
      <c r="E1" s="501"/>
      <c r="F1" s="501"/>
      <c r="G1" s="501"/>
      <c r="H1" s="501"/>
      <c r="I1" s="502"/>
      <c r="J1" s="457" t="s">
        <v>160</v>
      </c>
      <c r="K1" s="458"/>
      <c r="L1" s="458"/>
      <c r="M1" s="459"/>
      <c r="N1" s="500"/>
      <c r="O1" s="502"/>
      <c r="P1" s="500"/>
      <c r="Q1" s="501"/>
      <c r="R1" s="502"/>
      <c r="S1" s="503" t="s">
        <v>229</v>
      </c>
      <c r="T1" s="504"/>
      <c r="U1" s="504"/>
      <c r="V1" s="504"/>
      <c r="W1" s="504"/>
      <c r="X1" s="504"/>
      <c r="Y1" s="504"/>
      <c r="Z1" s="504"/>
      <c r="AA1" s="505"/>
      <c r="AB1" s="457" t="s">
        <v>160</v>
      </c>
      <c r="AC1" s="458"/>
      <c r="AD1" s="458"/>
      <c r="AE1" s="459"/>
      <c r="AF1" s="206"/>
      <c r="AG1" s="206"/>
      <c r="AH1" s="500"/>
      <c r="AI1" s="501"/>
      <c r="AJ1" s="502"/>
      <c r="AK1" s="503" t="s">
        <v>230</v>
      </c>
      <c r="AL1" s="504"/>
      <c r="AM1" s="504"/>
      <c r="AN1" s="504"/>
      <c r="AO1" s="504"/>
      <c r="AP1" s="504"/>
      <c r="AQ1" s="504"/>
      <c r="AR1" s="505"/>
      <c r="AS1" s="457" t="s">
        <v>160</v>
      </c>
      <c r="AT1" s="458"/>
      <c r="AU1" s="458"/>
      <c r="AV1" s="459"/>
      <c r="AW1" s="466"/>
      <c r="AX1" s="467"/>
      <c r="AY1" s="497"/>
    </row>
    <row r="2" spans="1:51" s="153" customFormat="1" ht="15" customHeight="1">
      <c r="A2" s="468"/>
      <c r="B2" s="469"/>
      <c r="C2" s="498"/>
      <c r="D2" s="503"/>
      <c r="E2" s="504"/>
      <c r="F2" s="504"/>
      <c r="G2" s="504"/>
      <c r="H2" s="504"/>
      <c r="I2" s="505"/>
      <c r="J2" s="460"/>
      <c r="K2" s="461"/>
      <c r="L2" s="461"/>
      <c r="M2" s="462"/>
      <c r="N2" s="503"/>
      <c r="O2" s="505"/>
      <c r="P2" s="503"/>
      <c r="Q2" s="504"/>
      <c r="R2" s="505"/>
      <c r="S2" s="503"/>
      <c r="T2" s="504"/>
      <c r="U2" s="504"/>
      <c r="V2" s="504"/>
      <c r="W2" s="504"/>
      <c r="X2" s="504"/>
      <c r="Y2" s="504"/>
      <c r="Z2" s="504"/>
      <c r="AA2" s="505"/>
      <c r="AB2" s="460"/>
      <c r="AC2" s="461"/>
      <c r="AD2" s="461"/>
      <c r="AE2" s="462"/>
      <c r="AF2" s="207"/>
      <c r="AG2" s="207"/>
      <c r="AH2" s="503"/>
      <c r="AI2" s="504"/>
      <c r="AJ2" s="505"/>
      <c r="AK2" s="503"/>
      <c r="AL2" s="504"/>
      <c r="AM2" s="504"/>
      <c r="AN2" s="504"/>
      <c r="AO2" s="504"/>
      <c r="AP2" s="504"/>
      <c r="AQ2" s="504"/>
      <c r="AR2" s="505"/>
      <c r="AS2" s="460"/>
      <c r="AT2" s="461"/>
      <c r="AU2" s="461"/>
      <c r="AV2" s="462"/>
      <c r="AW2" s="468"/>
      <c r="AX2" s="469"/>
      <c r="AY2" s="498"/>
    </row>
    <row r="3" spans="1:51" s="153" customFormat="1" ht="15" customHeight="1">
      <c r="A3" s="468"/>
      <c r="B3" s="469"/>
      <c r="C3" s="498"/>
      <c r="D3" s="503"/>
      <c r="E3" s="504"/>
      <c r="F3" s="504"/>
      <c r="G3" s="504"/>
      <c r="H3" s="504"/>
      <c r="I3" s="505"/>
      <c r="J3" s="460"/>
      <c r="K3" s="461"/>
      <c r="L3" s="461"/>
      <c r="M3" s="462"/>
      <c r="N3" s="503"/>
      <c r="O3" s="505"/>
      <c r="P3" s="503"/>
      <c r="Q3" s="504"/>
      <c r="R3" s="505"/>
      <c r="S3" s="503"/>
      <c r="T3" s="504"/>
      <c r="U3" s="504"/>
      <c r="V3" s="504"/>
      <c r="W3" s="504"/>
      <c r="X3" s="504"/>
      <c r="Y3" s="504"/>
      <c r="Z3" s="504"/>
      <c r="AA3" s="505"/>
      <c r="AB3" s="460"/>
      <c r="AC3" s="461"/>
      <c r="AD3" s="461"/>
      <c r="AE3" s="462"/>
      <c r="AF3" s="207"/>
      <c r="AG3" s="207"/>
      <c r="AH3" s="503"/>
      <c r="AI3" s="504"/>
      <c r="AJ3" s="505"/>
      <c r="AK3" s="503"/>
      <c r="AL3" s="504"/>
      <c r="AM3" s="504"/>
      <c r="AN3" s="504"/>
      <c r="AO3" s="504"/>
      <c r="AP3" s="504"/>
      <c r="AQ3" s="504"/>
      <c r="AR3" s="505"/>
      <c r="AS3" s="460"/>
      <c r="AT3" s="461"/>
      <c r="AU3" s="461"/>
      <c r="AV3" s="462"/>
      <c r="AW3" s="468"/>
      <c r="AX3" s="469"/>
      <c r="AY3" s="498"/>
    </row>
    <row r="4" spans="1:51" s="153" customFormat="1" ht="15" customHeight="1">
      <c r="A4" s="468"/>
      <c r="B4" s="469"/>
      <c r="C4" s="498"/>
      <c r="D4" s="503"/>
      <c r="E4" s="504"/>
      <c r="F4" s="504"/>
      <c r="G4" s="504"/>
      <c r="H4" s="504"/>
      <c r="I4" s="505"/>
      <c r="J4" s="460"/>
      <c r="K4" s="461"/>
      <c r="L4" s="461"/>
      <c r="M4" s="462"/>
      <c r="N4" s="503"/>
      <c r="O4" s="505"/>
      <c r="P4" s="503"/>
      <c r="Q4" s="504"/>
      <c r="R4" s="505"/>
      <c r="S4" s="503"/>
      <c r="T4" s="504"/>
      <c r="U4" s="504"/>
      <c r="V4" s="504"/>
      <c r="W4" s="504"/>
      <c r="X4" s="504"/>
      <c r="Y4" s="504"/>
      <c r="Z4" s="504"/>
      <c r="AA4" s="505"/>
      <c r="AB4" s="460"/>
      <c r="AC4" s="461"/>
      <c r="AD4" s="461"/>
      <c r="AE4" s="462"/>
      <c r="AF4" s="207"/>
      <c r="AG4" s="207"/>
      <c r="AH4" s="503"/>
      <c r="AI4" s="504"/>
      <c r="AJ4" s="505"/>
      <c r="AK4" s="503"/>
      <c r="AL4" s="504"/>
      <c r="AM4" s="504"/>
      <c r="AN4" s="504"/>
      <c r="AO4" s="504"/>
      <c r="AP4" s="504"/>
      <c r="AQ4" s="504"/>
      <c r="AR4" s="505"/>
      <c r="AS4" s="460"/>
      <c r="AT4" s="461"/>
      <c r="AU4" s="461"/>
      <c r="AV4" s="462"/>
      <c r="AW4" s="468"/>
      <c r="AX4" s="469"/>
      <c r="AY4" s="498"/>
    </row>
    <row r="5" spans="1:51" s="153" customFormat="1" ht="15" customHeight="1">
      <c r="A5" s="468"/>
      <c r="B5" s="469"/>
      <c r="C5" s="498"/>
      <c r="D5" s="503"/>
      <c r="E5" s="504"/>
      <c r="F5" s="504"/>
      <c r="G5" s="504"/>
      <c r="H5" s="504"/>
      <c r="I5" s="505"/>
      <c r="J5" s="460"/>
      <c r="K5" s="461"/>
      <c r="L5" s="461"/>
      <c r="M5" s="462"/>
      <c r="N5" s="503"/>
      <c r="O5" s="505"/>
      <c r="P5" s="503"/>
      <c r="Q5" s="504"/>
      <c r="R5" s="505"/>
      <c r="S5" s="503"/>
      <c r="T5" s="504"/>
      <c r="U5" s="504"/>
      <c r="V5" s="504"/>
      <c r="W5" s="504"/>
      <c r="X5" s="504"/>
      <c r="Y5" s="504"/>
      <c r="Z5" s="504"/>
      <c r="AA5" s="505"/>
      <c r="AB5" s="460"/>
      <c r="AC5" s="461"/>
      <c r="AD5" s="461"/>
      <c r="AE5" s="462"/>
      <c r="AF5" s="207"/>
      <c r="AG5" s="207"/>
      <c r="AH5" s="503"/>
      <c r="AI5" s="504"/>
      <c r="AJ5" s="505"/>
      <c r="AK5" s="503"/>
      <c r="AL5" s="504"/>
      <c r="AM5" s="504"/>
      <c r="AN5" s="504"/>
      <c r="AO5" s="504"/>
      <c r="AP5" s="504"/>
      <c r="AQ5" s="504"/>
      <c r="AR5" s="505"/>
      <c r="AS5" s="460"/>
      <c r="AT5" s="461"/>
      <c r="AU5" s="461"/>
      <c r="AV5" s="462"/>
      <c r="AW5" s="468"/>
      <c r="AX5" s="469"/>
      <c r="AY5" s="498"/>
    </row>
    <row r="6" spans="1:51" s="153" customFormat="1" ht="15" customHeight="1">
      <c r="A6" s="468"/>
      <c r="B6" s="469"/>
      <c r="C6" s="498"/>
      <c r="D6" s="503"/>
      <c r="E6" s="504"/>
      <c r="F6" s="504"/>
      <c r="G6" s="504"/>
      <c r="H6" s="504"/>
      <c r="I6" s="505"/>
      <c r="J6" s="460"/>
      <c r="K6" s="461"/>
      <c r="L6" s="461"/>
      <c r="M6" s="462"/>
      <c r="N6" s="503"/>
      <c r="O6" s="505"/>
      <c r="P6" s="503"/>
      <c r="Q6" s="504"/>
      <c r="R6" s="505"/>
      <c r="S6" s="503"/>
      <c r="T6" s="504"/>
      <c r="U6" s="504"/>
      <c r="V6" s="504"/>
      <c r="W6" s="504"/>
      <c r="X6" s="504"/>
      <c r="Y6" s="504"/>
      <c r="Z6" s="504"/>
      <c r="AA6" s="505"/>
      <c r="AB6" s="460"/>
      <c r="AC6" s="461"/>
      <c r="AD6" s="461"/>
      <c r="AE6" s="462"/>
      <c r="AF6" s="207"/>
      <c r="AG6" s="207"/>
      <c r="AH6" s="503"/>
      <c r="AI6" s="504"/>
      <c r="AJ6" s="505"/>
      <c r="AK6" s="503"/>
      <c r="AL6" s="504"/>
      <c r="AM6" s="504"/>
      <c r="AN6" s="504"/>
      <c r="AO6" s="504"/>
      <c r="AP6" s="504"/>
      <c r="AQ6" s="504"/>
      <c r="AR6" s="505"/>
      <c r="AS6" s="460"/>
      <c r="AT6" s="461"/>
      <c r="AU6" s="461"/>
      <c r="AV6" s="462"/>
      <c r="AW6" s="468"/>
      <c r="AX6" s="469"/>
      <c r="AY6" s="498"/>
    </row>
    <row r="7" spans="1:51" s="153" customFormat="1" ht="15" customHeight="1">
      <c r="A7" s="468"/>
      <c r="B7" s="469"/>
      <c r="C7" s="498"/>
      <c r="D7" s="503"/>
      <c r="E7" s="504"/>
      <c r="F7" s="504"/>
      <c r="G7" s="504"/>
      <c r="H7" s="504"/>
      <c r="I7" s="505"/>
      <c r="J7" s="460"/>
      <c r="K7" s="461"/>
      <c r="L7" s="461"/>
      <c r="M7" s="462"/>
      <c r="N7" s="503"/>
      <c r="O7" s="505"/>
      <c r="P7" s="503"/>
      <c r="Q7" s="504"/>
      <c r="R7" s="505"/>
      <c r="S7" s="503"/>
      <c r="T7" s="504"/>
      <c r="U7" s="504"/>
      <c r="V7" s="504"/>
      <c r="W7" s="504"/>
      <c r="X7" s="504"/>
      <c r="Y7" s="504"/>
      <c r="Z7" s="504"/>
      <c r="AA7" s="505"/>
      <c r="AB7" s="460"/>
      <c r="AC7" s="461"/>
      <c r="AD7" s="461"/>
      <c r="AE7" s="462"/>
      <c r="AF7" s="207"/>
      <c r="AG7" s="207"/>
      <c r="AH7" s="503"/>
      <c r="AI7" s="504"/>
      <c r="AJ7" s="505"/>
      <c r="AK7" s="503"/>
      <c r="AL7" s="504"/>
      <c r="AM7" s="504"/>
      <c r="AN7" s="504"/>
      <c r="AO7" s="504"/>
      <c r="AP7" s="504"/>
      <c r="AQ7" s="504"/>
      <c r="AR7" s="505"/>
      <c r="AS7" s="460"/>
      <c r="AT7" s="461"/>
      <c r="AU7" s="461"/>
      <c r="AV7" s="462"/>
      <c r="AW7" s="468"/>
      <c r="AX7" s="469"/>
      <c r="AY7" s="498"/>
    </row>
    <row r="8" spans="1:51" s="153" customFormat="1" ht="21.75" customHeight="1" thickBot="1">
      <c r="A8" s="470"/>
      <c r="B8" s="471"/>
      <c r="C8" s="499"/>
      <c r="D8" s="506"/>
      <c r="E8" s="507"/>
      <c r="F8" s="507"/>
      <c r="G8" s="507"/>
      <c r="H8" s="507"/>
      <c r="I8" s="508"/>
      <c r="J8" s="463"/>
      <c r="K8" s="464"/>
      <c r="L8" s="464"/>
      <c r="M8" s="465"/>
      <c r="N8" s="506"/>
      <c r="O8" s="508"/>
      <c r="P8" s="506"/>
      <c r="Q8" s="507"/>
      <c r="R8" s="508"/>
      <c r="S8" s="506"/>
      <c r="T8" s="507"/>
      <c r="U8" s="507"/>
      <c r="V8" s="507"/>
      <c r="W8" s="507"/>
      <c r="X8" s="507"/>
      <c r="Y8" s="507"/>
      <c r="Z8" s="507"/>
      <c r="AA8" s="508"/>
      <c r="AB8" s="463"/>
      <c r="AC8" s="464"/>
      <c r="AD8" s="464"/>
      <c r="AE8" s="465"/>
      <c r="AF8" s="208"/>
      <c r="AG8" s="208"/>
      <c r="AH8" s="506"/>
      <c r="AI8" s="507"/>
      <c r="AJ8" s="508"/>
      <c r="AK8" s="506"/>
      <c r="AL8" s="507"/>
      <c r="AM8" s="507"/>
      <c r="AN8" s="507"/>
      <c r="AO8" s="507"/>
      <c r="AP8" s="507"/>
      <c r="AQ8" s="507"/>
      <c r="AR8" s="508"/>
      <c r="AS8" s="463"/>
      <c r="AT8" s="464"/>
      <c r="AU8" s="464"/>
      <c r="AV8" s="465"/>
      <c r="AW8" s="470"/>
      <c r="AX8" s="471"/>
      <c r="AY8" s="499"/>
    </row>
    <row r="9" ht="15"/>
    <row r="10" spans="6:9" ht="25.5">
      <c r="F10" s="2" t="s">
        <v>3</v>
      </c>
      <c r="G10" s="2"/>
      <c r="H10" s="2"/>
      <c r="I10" s="2"/>
    </row>
    <row r="11" spans="2:50" ht="38.25" customHeight="1">
      <c r="B11" s="472" t="s">
        <v>231</v>
      </c>
      <c r="C11" s="512" t="s">
        <v>232</v>
      </c>
      <c r="D11" s="210"/>
      <c r="E11" s="474" t="s">
        <v>233</v>
      </c>
      <c r="F11" s="474" t="s">
        <v>8</v>
      </c>
      <c r="G11" s="475" t="s">
        <v>18</v>
      </c>
      <c r="H11" s="476"/>
      <c r="I11" s="477"/>
      <c r="J11" s="211"/>
      <c r="K11" s="478" t="s">
        <v>0</v>
      </c>
      <c r="L11" s="478"/>
      <c r="M11" s="478" t="s">
        <v>170</v>
      </c>
      <c r="N11" s="478"/>
      <c r="O11" s="478" t="s">
        <v>171</v>
      </c>
      <c r="P11" s="478"/>
      <c r="Q11" s="478" t="s">
        <v>172</v>
      </c>
      <c r="R11" s="478"/>
      <c r="S11" s="455" t="s">
        <v>1</v>
      </c>
      <c r="T11" s="455" t="s">
        <v>2</v>
      </c>
      <c r="U11" s="509" t="s">
        <v>268</v>
      </c>
      <c r="V11" s="510"/>
      <c r="W11" s="511"/>
      <c r="X11" s="474" t="s">
        <v>269</v>
      </c>
      <c r="Y11" s="474"/>
      <c r="Z11" s="474"/>
      <c r="AA11" s="474" t="s">
        <v>270</v>
      </c>
      <c r="AB11" s="474"/>
      <c r="AC11" s="474"/>
      <c r="AD11" s="474" t="s">
        <v>271</v>
      </c>
      <c r="AE11" s="474"/>
      <c r="AF11" s="474"/>
      <c r="AG11" s="475" t="s">
        <v>236</v>
      </c>
      <c r="AH11" s="476"/>
      <c r="AI11" s="477"/>
      <c r="AJ11" s="475" t="s">
        <v>237</v>
      </c>
      <c r="AK11" s="476"/>
      <c r="AL11" s="477"/>
      <c r="AM11" s="475" t="s">
        <v>238</v>
      </c>
      <c r="AN11" s="476"/>
      <c r="AO11" s="477"/>
      <c r="AP11" s="475" t="s">
        <v>239</v>
      </c>
      <c r="AQ11" s="476"/>
      <c r="AR11" s="477"/>
      <c r="AS11" s="475" t="s">
        <v>240</v>
      </c>
      <c r="AT11" s="476"/>
      <c r="AU11" s="477"/>
      <c r="AV11" s="475" t="s">
        <v>241</v>
      </c>
      <c r="AW11" s="476"/>
      <c r="AX11" s="477"/>
    </row>
    <row r="12" spans="1:50" ht="67.5">
      <c r="A12" s="1" t="s">
        <v>190</v>
      </c>
      <c r="B12" s="473"/>
      <c r="C12" s="513"/>
      <c r="D12" s="210" t="s">
        <v>9</v>
      </c>
      <c r="E12" s="474"/>
      <c r="F12" s="474"/>
      <c r="G12" s="4" t="s">
        <v>4</v>
      </c>
      <c r="H12" s="4" t="s">
        <v>5</v>
      </c>
      <c r="I12" s="4" t="s">
        <v>6</v>
      </c>
      <c r="J12" s="4" t="s">
        <v>7</v>
      </c>
      <c r="K12" s="3" t="s">
        <v>115</v>
      </c>
      <c r="L12" s="3" t="s">
        <v>116</v>
      </c>
      <c r="M12" s="212" t="s">
        <v>193</v>
      </c>
      <c r="N12" s="212" t="s">
        <v>194</v>
      </c>
      <c r="O12" s="3" t="s">
        <v>195</v>
      </c>
      <c r="P12" s="3" t="s">
        <v>196</v>
      </c>
      <c r="Q12" s="3" t="s">
        <v>197</v>
      </c>
      <c r="R12" s="3" t="s">
        <v>196</v>
      </c>
      <c r="S12" s="455"/>
      <c r="T12" s="455"/>
      <c r="U12" s="3" t="s">
        <v>243</v>
      </c>
      <c r="V12" s="3" t="s">
        <v>244</v>
      </c>
      <c r="W12" s="3" t="s">
        <v>245</v>
      </c>
      <c r="X12" s="3" t="s">
        <v>243</v>
      </c>
      <c r="Y12" s="3" t="s">
        <v>244</v>
      </c>
      <c r="Z12" s="3" t="s">
        <v>245</v>
      </c>
      <c r="AA12" s="3" t="s">
        <v>243</v>
      </c>
      <c r="AB12" s="3" t="s">
        <v>244</v>
      </c>
      <c r="AC12" s="3" t="s">
        <v>245</v>
      </c>
      <c r="AD12" s="3" t="s">
        <v>243</v>
      </c>
      <c r="AE12" s="3" t="s">
        <v>244</v>
      </c>
      <c r="AF12" s="3" t="s">
        <v>245</v>
      </c>
      <c r="AG12" s="3" t="s">
        <v>243</v>
      </c>
      <c r="AH12" s="3" t="s">
        <v>244</v>
      </c>
      <c r="AI12" s="3" t="s">
        <v>245</v>
      </c>
      <c r="AJ12" s="3" t="s">
        <v>243</v>
      </c>
      <c r="AK12" s="3" t="s">
        <v>244</v>
      </c>
      <c r="AL12" s="3" t="s">
        <v>245</v>
      </c>
      <c r="AM12" s="3" t="s">
        <v>243</v>
      </c>
      <c r="AN12" s="3" t="s">
        <v>244</v>
      </c>
      <c r="AO12" s="3" t="s">
        <v>245</v>
      </c>
      <c r="AP12" s="3" t="s">
        <v>243</v>
      </c>
      <c r="AQ12" s="3" t="s">
        <v>244</v>
      </c>
      <c r="AR12" s="3" t="s">
        <v>245</v>
      </c>
      <c r="AS12" s="3" t="s">
        <v>243</v>
      </c>
      <c r="AT12" s="3" t="s">
        <v>244</v>
      </c>
      <c r="AU12" s="3" t="s">
        <v>245</v>
      </c>
      <c r="AV12" s="3" t="s">
        <v>243</v>
      </c>
      <c r="AW12" s="3" t="s">
        <v>244</v>
      </c>
      <c r="AX12" s="3" t="s">
        <v>245</v>
      </c>
    </row>
    <row r="13" spans="1:58" s="6" customFormat="1" ht="57" customHeight="1" outlineLevel="2">
      <c r="A13" s="213" t="s">
        <v>200</v>
      </c>
      <c r="B13" s="213" t="s">
        <v>201</v>
      </c>
      <c r="C13" s="214">
        <v>879</v>
      </c>
      <c r="D13" s="215" t="s">
        <v>109</v>
      </c>
      <c r="E13" s="214"/>
      <c r="F13" s="215" t="s">
        <v>129</v>
      </c>
      <c r="G13" s="291"/>
      <c r="H13" s="216" t="s">
        <v>26</v>
      </c>
      <c r="I13" s="291"/>
      <c r="J13" s="215" t="s">
        <v>132</v>
      </c>
      <c r="K13" s="292">
        <v>0.45</v>
      </c>
      <c r="L13" s="293">
        <v>0.12</v>
      </c>
      <c r="M13" s="294">
        <v>0</v>
      </c>
      <c r="N13" s="295"/>
      <c r="O13" s="222"/>
      <c r="P13" s="222"/>
      <c r="Q13" s="296"/>
      <c r="R13" s="222"/>
      <c r="S13" s="297" t="s">
        <v>272</v>
      </c>
      <c r="T13" s="223" t="s">
        <v>258</v>
      </c>
      <c r="U13" s="295"/>
      <c r="V13" s="222"/>
      <c r="W13" s="225">
        <f>IF(U13=0,"",V13/U13)</f>
      </c>
      <c r="X13" s="226"/>
      <c r="Y13" s="226"/>
      <c r="Z13" s="225">
        <f>IF(X13=0,"",Y13/X13)</f>
      </c>
      <c r="AA13" s="226"/>
      <c r="AB13" s="226"/>
      <c r="AC13" s="225">
        <f>IF(AA13=0,"",AB13/AA13)</f>
      </c>
      <c r="AD13" s="226"/>
      <c r="AE13" s="226"/>
      <c r="AF13" s="225">
        <f>IF(AD13=0,"",AE13/AD13)</f>
      </c>
      <c r="AG13" s="226"/>
      <c r="AH13" s="226"/>
      <c r="AI13" s="225">
        <f>IF(AG13=0,"",AH13/AG13)</f>
      </c>
      <c r="AJ13" s="226"/>
      <c r="AK13" s="226"/>
      <c r="AL13" s="225">
        <f>IF(AJ13=0,"",AK13/AJ13)</f>
      </c>
      <c r="AM13" s="226"/>
      <c r="AN13" s="226"/>
      <c r="AO13" s="225">
        <f>IF(AM13=0,"",AN13/AM13)</f>
      </c>
      <c r="AP13" s="226"/>
      <c r="AQ13" s="226"/>
      <c r="AR13" s="225">
        <f>IF(AP13=0,"",AQ13/AP13)</f>
      </c>
      <c r="AS13" s="226"/>
      <c r="AT13" s="226"/>
      <c r="AU13" s="225">
        <f>IF(AS13=0,"",AT13/AS13)</f>
      </c>
      <c r="AV13" s="226"/>
      <c r="AW13" s="226"/>
      <c r="AX13" s="225">
        <f>IF(AV13=0,"",AW13/AV13)</f>
      </c>
      <c r="AY13" s="227">
        <f>+N13-O13</f>
        <v>0</v>
      </c>
      <c r="AZ13" s="227">
        <f>+O13-P13</f>
        <v>0</v>
      </c>
      <c r="BA13" s="227">
        <f>+Q13-R13</f>
        <v>0</v>
      </c>
      <c r="BC13" s="227">
        <f>+'[4]Actividades'!O13-O13</f>
        <v>0</v>
      </c>
      <c r="BD13" s="227">
        <f>+'[4]Actividades'!P13-P13</f>
        <v>0</v>
      </c>
      <c r="BE13" s="227">
        <f>+'[4]Actividades'!Q13-Q13</f>
        <v>0</v>
      </c>
      <c r="BF13" s="227">
        <f>+'[4]Actividades'!R13-R13</f>
        <v>0</v>
      </c>
    </row>
    <row r="14" spans="1:58" s="308" customFormat="1" ht="15" outlineLevel="2">
      <c r="A14" s="298"/>
      <c r="B14" s="298"/>
      <c r="C14" s="299"/>
      <c r="D14" s="300"/>
      <c r="E14" s="299"/>
      <c r="F14" s="300"/>
      <c r="G14" s="301"/>
      <c r="H14" s="302"/>
      <c r="I14" s="301"/>
      <c r="J14" s="300"/>
      <c r="K14" s="303"/>
      <c r="L14" s="304"/>
      <c r="M14" s="305">
        <f aca="true" t="shared" si="0" ref="M14:R14">+M13</f>
        <v>0</v>
      </c>
      <c r="N14" s="306">
        <f t="shared" si="0"/>
        <v>0</v>
      </c>
      <c r="O14" s="306">
        <f t="shared" si="0"/>
        <v>0</v>
      </c>
      <c r="P14" s="306">
        <f t="shared" si="0"/>
        <v>0</v>
      </c>
      <c r="Q14" s="306">
        <f t="shared" si="0"/>
        <v>0</v>
      </c>
      <c r="R14" s="306">
        <f t="shared" si="0"/>
        <v>0</v>
      </c>
      <c r="S14" s="307"/>
      <c r="T14" s="307"/>
      <c r="U14" s="306">
        <f>+U13</f>
        <v>0</v>
      </c>
      <c r="V14" s="306">
        <f aca="true" t="shared" si="1" ref="V14:AX14">+V13</f>
        <v>0</v>
      </c>
      <c r="W14" s="306">
        <f t="shared" si="1"/>
      </c>
      <c r="X14" s="306">
        <f t="shared" si="1"/>
        <v>0</v>
      </c>
      <c r="Y14" s="306">
        <f t="shared" si="1"/>
        <v>0</v>
      </c>
      <c r="Z14" s="306">
        <f t="shared" si="1"/>
      </c>
      <c r="AA14" s="306">
        <f t="shared" si="1"/>
        <v>0</v>
      </c>
      <c r="AB14" s="306">
        <f t="shared" si="1"/>
        <v>0</v>
      </c>
      <c r="AC14" s="306">
        <f t="shared" si="1"/>
      </c>
      <c r="AD14" s="306">
        <f t="shared" si="1"/>
        <v>0</v>
      </c>
      <c r="AE14" s="306">
        <f t="shared" si="1"/>
        <v>0</v>
      </c>
      <c r="AF14" s="306">
        <f t="shared" si="1"/>
      </c>
      <c r="AG14" s="306">
        <f t="shared" si="1"/>
        <v>0</v>
      </c>
      <c r="AH14" s="306">
        <f t="shared" si="1"/>
        <v>0</v>
      </c>
      <c r="AI14" s="306">
        <f t="shared" si="1"/>
      </c>
      <c r="AJ14" s="306">
        <f t="shared" si="1"/>
        <v>0</v>
      </c>
      <c r="AK14" s="306">
        <f t="shared" si="1"/>
        <v>0</v>
      </c>
      <c r="AL14" s="306">
        <f t="shared" si="1"/>
      </c>
      <c r="AM14" s="306">
        <f t="shared" si="1"/>
        <v>0</v>
      </c>
      <c r="AN14" s="306">
        <f t="shared" si="1"/>
        <v>0</v>
      </c>
      <c r="AO14" s="306">
        <f t="shared" si="1"/>
      </c>
      <c r="AP14" s="306">
        <f t="shared" si="1"/>
        <v>0</v>
      </c>
      <c r="AQ14" s="306">
        <f t="shared" si="1"/>
        <v>0</v>
      </c>
      <c r="AR14" s="306">
        <f t="shared" si="1"/>
      </c>
      <c r="AS14" s="306">
        <f t="shared" si="1"/>
        <v>0</v>
      </c>
      <c r="AT14" s="306">
        <f t="shared" si="1"/>
        <v>0</v>
      </c>
      <c r="AU14" s="306">
        <f t="shared" si="1"/>
      </c>
      <c r="AV14" s="306">
        <f t="shared" si="1"/>
        <v>0</v>
      </c>
      <c r="AW14" s="306">
        <f t="shared" si="1"/>
        <v>0</v>
      </c>
      <c r="AX14" s="306">
        <f t="shared" si="1"/>
      </c>
      <c r="AY14" s="227">
        <f aca="true" t="shared" si="2" ref="AY14:AZ19">+N14-O14</f>
        <v>0</v>
      </c>
      <c r="AZ14" s="227">
        <f t="shared" si="2"/>
        <v>0</v>
      </c>
      <c r="BA14" s="227">
        <f aca="true" t="shared" si="3" ref="BA14:BA19">+Q14-R14</f>
        <v>0</v>
      </c>
      <c r="BC14" s="227">
        <f>+'[4]Actividades'!O14-O14</f>
        <v>0</v>
      </c>
      <c r="BD14" s="227">
        <f>+'[4]Actividades'!P14-P14</f>
        <v>0</v>
      </c>
      <c r="BE14" s="227">
        <f>+'[4]Actividades'!Q14-Q14</f>
        <v>0</v>
      </c>
      <c r="BF14" s="227">
        <f>+'[4]Actividades'!R14-R14</f>
        <v>0</v>
      </c>
    </row>
    <row r="15" spans="1:58" s="6" customFormat="1" ht="37.5" customHeight="1" outlineLevel="2">
      <c r="A15" s="213"/>
      <c r="B15" s="213" t="s">
        <v>260</v>
      </c>
      <c r="C15" s="214">
        <v>879</v>
      </c>
      <c r="D15" s="215" t="s">
        <v>273</v>
      </c>
      <c r="E15" s="214"/>
      <c r="F15" s="215" t="s">
        <v>130</v>
      </c>
      <c r="G15" s="291"/>
      <c r="H15" s="216" t="s">
        <v>26</v>
      </c>
      <c r="I15" s="291"/>
      <c r="J15" s="215" t="s">
        <v>114</v>
      </c>
      <c r="K15" s="292">
        <v>0.45</v>
      </c>
      <c r="L15" s="293">
        <v>0.12</v>
      </c>
      <c r="M15" s="294">
        <v>87550000</v>
      </c>
      <c r="N15" s="295">
        <v>87550000</v>
      </c>
      <c r="O15" s="222">
        <v>87336400</v>
      </c>
      <c r="P15" s="222">
        <v>32314468</v>
      </c>
      <c r="Q15" s="296">
        <v>29252300</v>
      </c>
      <c r="R15" s="222">
        <v>29252300</v>
      </c>
      <c r="S15" s="297" t="s">
        <v>272</v>
      </c>
      <c r="T15" s="223" t="s">
        <v>258</v>
      </c>
      <c r="U15" s="295">
        <f>+N15</f>
        <v>87550000</v>
      </c>
      <c r="V15" s="222">
        <f>+O15</f>
        <v>87336400</v>
      </c>
      <c r="W15" s="225">
        <f>IF(U15=0,"",V15/U15)</f>
        <v>0.99756025128498</v>
      </c>
      <c r="X15" s="226"/>
      <c r="Y15" s="226"/>
      <c r="Z15" s="225"/>
      <c r="AA15" s="226"/>
      <c r="AB15" s="226"/>
      <c r="AC15" s="225"/>
      <c r="AD15" s="226"/>
      <c r="AE15" s="226"/>
      <c r="AF15" s="225"/>
      <c r="AG15" s="226"/>
      <c r="AH15" s="226"/>
      <c r="AI15" s="225"/>
      <c r="AJ15" s="226"/>
      <c r="AK15" s="226"/>
      <c r="AL15" s="225"/>
      <c r="AM15" s="226"/>
      <c r="AN15" s="226"/>
      <c r="AO15" s="225"/>
      <c r="AP15" s="226"/>
      <c r="AQ15" s="226"/>
      <c r="AR15" s="225"/>
      <c r="AS15" s="226"/>
      <c r="AT15" s="226"/>
      <c r="AU15" s="225"/>
      <c r="AV15" s="226"/>
      <c r="AW15" s="226"/>
      <c r="AX15" s="225"/>
      <c r="AY15" s="227">
        <f t="shared" si="2"/>
        <v>213600</v>
      </c>
      <c r="AZ15" s="227">
        <f t="shared" si="2"/>
        <v>55021932</v>
      </c>
      <c r="BA15" s="227">
        <f t="shared" si="3"/>
        <v>0</v>
      </c>
      <c r="BC15" s="227">
        <f>+'[4]Actividades'!O15-O15</f>
        <v>-15008080</v>
      </c>
      <c r="BD15" s="227">
        <f>+'[4]Actividades'!P15-P15</f>
        <v>23940892</v>
      </c>
      <c r="BE15" s="227">
        <f>+'[4]Actividades'!Q15-Q15</f>
        <v>6411320</v>
      </c>
      <c r="BF15" s="227">
        <f>+'[4]Actividades'!R15-R15</f>
        <v>4594180</v>
      </c>
    </row>
    <row r="16" spans="1:58" s="308" customFormat="1" ht="15" outlineLevel="2">
      <c r="A16" s="298"/>
      <c r="B16" s="298"/>
      <c r="C16" s="299"/>
      <c r="D16" s="300"/>
      <c r="E16" s="299"/>
      <c r="F16" s="300"/>
      <c r="G16" s="301"/>
      <c r="H16" s="302"/>
      <c r="I16" s="301"/>
      <c r="J16" s="300"/>
      <c r="K16" s="303"/>
      <c r="L16" s="304"/>
      <c r="M16" s="305">
        <f aca="true" t="shared" si="4" ref="M16:R16">+M15</f>
        <v>87550000</v>
      </c>
      <c r="N16" s="306">
        <f t="shared" si="4"/>
        <v>87550000</v>
      </c>
      <c r="O16" s="306">
        <f t="shared" si="4"/>
        <v>87336400</v>
      </c>
      <c r="P16" s="306">
        <f t="shared" si="4"/>
        <v>32314468</v>
      </c>
      <c r="Q16" s="306">
        <f t="shared" si="4"/>
        <v>29252300</v>
      </c>
      <c r="R16" s="306">
        <f t="shared" si="4"/>
        <v>29252300</v>
      </c>
      <c r="S16" s="307"/>
      <c r="T16" s="307"/>
      <c r="U16" s="306">
        <f>+U15</f>
        <v>87550000</v>
      </c>
      <c r="V16" s="306">
        <f aca="true" t="shared" si="5" ref="V16:AX16">+V15</f>
        <v>87336400</v>
      </c>
      <c r="W16" s="306">
        <f t="shared" si="5"/>
        <v>0.99756025128498</v>
      </c>
      <c r="X16" s="306">
        <f t="shared" si="5"/>
        <v>0</v>
      </c>
      <c r="Y16" s="306">
        <f t="shared" si="5"/>
        <v>0</v>
      </c>
      <c r="Z16" s="306">
        <f t="shared" si="5"/>
        <v>0</v>
      </c>
      <c r="AA16" s="306">
        <f t="shared" si="5"/>
        <v>0</v>
      </c>
      <c r="AB16" s="306">
        <f t="shared" si="5"/>
        <v>0</v>
      </c>
      <c r="AC16" s="306">
        <f t="shared" si="5"/>
        <v>0</v>
      </c>
      <c r="AD16" s="306">
        <f t="shared" si="5"/>
        <v>0</v>
      </c>
      <c r="AE16" s="306">
        <f t="shared" si="5"/>
        <v>0</v>
      </c>
      <c r="AF16" s="306">
        <f t="shared" si="5"/>
        <v>0</v>
      </c>
      <c r="AG16" s="306">
        <f t="shared" si="5"/>
        <v>0</v>
      </c>
      <c r="AH16" s="306">
        <f t="shared" si="5"/>
        <v>0</v>
      </c>
      <c r="AI16" s="306">
        <f t="shared" si="5"/>
        <v>0</v>
      </c>
      <c r="AJ16" s="306">
        <f t="shared" si="5"/>
        <v>0</v>
      </c>
      <c r="AK16" s="306">
        <f t="shared" si="5"/>
        <v>0</v>
      </c>
      <c r="AL16" s="306">
        <f t="shared" si="5"/>
        <v>0</v>
      </c>
      <c r="AM16" s="306">
        <f t="shared" si="5"/>
        <v>0</v>
      </c>
      <c r="AN16" s="306">
        <f t="shared" si="5"/>
        <v>0</v>
      </c>
      <c r="AO16" s="306">
        <f t="shared" si="5"/>
        <v>0</v>
      </c>
      <c r="AP16" s="306">
        <f t="shared" si="5"/>
        <v>0</v>
      </c>
      <c r="AQ16" s="306">
        <f t="shared" si="5"/>
        <v>0</v>
      </c>
      <c r="AR16" s="306">
        <f t="shared" si="5"/>
        <v>0</v>
      </c>
      <c r="AS16" s="306">
        <f t="shared" si="5"/>
        <v>0</v>
      </c>
      <c r="AT16" s="306">
        <f t="shared" si="5"/>
        <v>0</v>
      </c>
      <c r="AU16" s="306">
        <f t="shared" si="5"/>
        <v>0</v>
      </c>
      <c r="AV16" s="306">
        <f t="shared" si="5"/>
        <v>0</v>
      </c>
      <c r="AW16" s="306">
        <f t="shared" si="5"/>
        <v>0</v>
      </c>
      <c r="AX16" s="306">
        <f t="shared" si="5"/>
        <v>0</v>
      </c>
      <c r="AY16" s="227">
        <f t="shared" si="2"/>
        <v>213600</v>
      </c>
      <c r="AZ16" s="227">
        <f t="shared" si="2"/>
        <v>55021932</v>
      </c>
      <c r="BA16" s="227">
        <f t="shared" si="3"/>
        <v>0</v>
      </c>
      <c r="BC16" s="227">
        <f>+'[4]Actividades'!O16-O16</f>
        <v>-15008080</v>
      </c>
      <c r="BD16" s="227">
        <f>+'[4]Actividades'!P16-P16</f>
        <v>23940892</v>
      </c>
      <c r="BE16" s="227">
        <f>+'[4]Actividades'!Q16-Q16</f>
        <v>6411320</v>
      </c>
      <c r="BF16" s="227">
        <f>+'[4]Actividades'!R16-R16</f>
        <v>4594180</v>
      </c>
    </row>
    <row r="17" spans="1:58" s="6" customFormat="1" ht="50.25" customHeight="1" outlineLevel="2">
      <c r="A17" s="213"/>
      <c r="B17" s="213" t="s">
        <v>264</v>
      </c>
      <c r="C17" s="214">
        <v>879</v>
      </c>
      <c r="D17" s="215" t="s">
        <v>266</v>
      </c>
      <c r="E17" s="214"/>
      <c r="F17" s="215" t="s">
        <v>131</v>
      </c>
      <c r="G17" s="291"/>
      <c r="H17" s="216" t="s">
        <v>26</v>
      </c>
      <c r="I17" s="291"/>
      <c r="J17" s="215" t="s">
        <v>133</v>
      </c>
      <c r="K17" s="292">
        <v>0.45</v>
      </c>
      <c r="L17" s="293">
        <v>0.12</v>
      </c>
      <c r="M17" s="309">
        <v>0</v>
      </c>
      <c r="N17" s="295"/>
      <c r="O17" s="222"/>
      <c r="P17" s="222"/>
      <c r="Q17" s="296"/>
      <c r="R17" s="222"/>
      <c r="S17" s="297" t="s">
        <v>272</v>
      </c>
      <c r="T17" s="223" t="s">
        <v>258</v>
      </c>
      <c r="U17" s="295"/>
      <c r="V17" s="222"/>
      <c r="W17" s="225">
        <f>IF(U17=0,"",V17/U17)</f>
      </c>
      <c r="X17" s="226"/>
      <c r="Y17" s="226"/>
      <c r="Z17" s="225"/>
      <c r="AA17" s="226"/>
      <c r="AB17" s="226"/>
      <c r="AC17" s="225">
        <v>0</v>
      </c>
      <c r="AD17" s="226"/>
      <c r="AE17" s="226"/>
      <c r="AF17" s="225"/>
      <c r="AG17" s="226"/>
      <c r="AH17" s="226"/>
      <c r="AI17" s="225"/>
      <c r="AJ17" s="226"/>
      <c r="AK17" s="226"/>
      <c r="AL17" s="225"/>
      <c r="AM17" s="226"/>
      <c r="AN17" s="226"/>
      <c r="AO17" s="225"/>
      <c r="AP17" s="226"/>
      <c r="AQ17" s="226"/>
      <c r="AR17" s="225"/>
      <c r="AS17" s="226"/>
      <c r="AT17" s="226"/>
      <c r="AU17" s="225"/>
      <c r="AV17" s="226"/>
      <c r="AW17" s="226"/>
      <c r="AX17" s="225"/>
      <c r="AY17" s="227">
        <f t="shared" si="2"/>
        <v>0</v>
      </c>
      <c r="AZ17" s="227">
        <f t="shared" si="2"/>
        <v>0</v>
      </c>
      <c r="BA17" s="227">
        <f t="shared" si="3"/>
        <v>0</v>
      </c>
      <c r="BC17" s="227">
        <f>+'[4]Actividades'!O17-O17</f>
        <v>0</v>
      </c>
      <c r="BD17" s="227">
        <f>+'[4]Actividades'!P17-P17</f>
        <v>0</v>
      </c>
      <c r="BE17" s="227">
        <f>+'[4]Actividades'!Q17-Q17</f>
        <v>0</v>
      </c>
      <c r="BF17" s="227">
        <f>+'[4]Actividades'!R17-R17</f>
        <v>0</v>
      </c>
    </row>
    <row r="18" spans="1:58" s="308" customFormat="1" ht="15" outlineLevel="1">
      <c r="A18" s="310"/>
      <c r="B18" s="298"/>
      <c r="C18" s="299"/>
      <c r="D18" s="299"/>
      <c r="E18" s="299"/>
      <c r="F18" s="301"/>
      <c r="G18" s="301"/>
      <c r="H18" s="301"/>
      <c r="I18" s="301"/>
      <c r="J18" s="299"/>
      <c r="K18" s="299"/>
      <c r="L18" s="299"/>
      <c r="M18" s="305">
        <f aca="true" t="shared" si="6" ref="M18:R18">+M17</f>
        <v>0</v>
      </c>
      <c r="N18" s="305">
        <f t="shared" si="6"/>
        <v>0</v>
      </c>
      <c r="O18" s="305">
        <f t="shared" si="6"/>
        <v>0</v>
      </c>
      <c r="P18" s="305">
        <f t="shared" si="6"/>
        <v>0</v>
      </c>
      <c r="Q18" s="305">
        <f t="shared" si="6"/>
        <v>0</v>
      </c>
      <c r="R18" s="305">
        <f t="shared" si="6"/>
        <v>0</v>
      </c>
      <c r="S18" s="301"/>
      <c r="T18" s="311"/>
      <c r="U18" s="305">
        <f>+U17</f>
        <v>0</v>
      </c>
      <c r="V18" s="305">
        <f aca="true" t="shared" si="7" ref="V18:AX18">+V17</f>
        <v>0</v>
      </c>
      <c r="W18" s="305">
        <f t="shared" si="7"/>
      </c>
      <c r="X18" s="305">
        <f t="shared" si="7"/>
        <v>0</v>
      </c>
      <c r="Y18" s="305">
        <f t="shared" si="7"/>
        <v>0</v>
      </c>
      <c r="Z18" s="305">
        <f t="shared" si="7"/>
        <v>0</v>
      </c>
      <c r="AA18" s="305">
        <f t="shared" si="7"/>
        <v>0</v>
      </c>
      <c r="AB18" s="305">
        <f t="shared" si="7"/>
        <v>0</v>
      </c>
      <c r="AC18" s="305">
        <f t="shared" si="7"/>
        <v>0</v>
      </c>
      <c r="AD18" s="305">
        <f t="shared" si="7"/>
        <v>0</v>
      </c>
      <c r="AE18" s="305">
        <f t="shared" si="7"/>
        <v>0</v>
      </c>
      <c r="AF18" s="305">
        <f t="shared" si="7"/>
        <v>0</v>
      </c>
      <c r="AG18" s="305">
        <f t="shared" si="7"/>
        <v>0</v>
      </c>
      <c r="AH18" s="305">
        <f t="shared" si="7"/>
        <v>0</v>
      </c>
      <c r="AI18" s="305">
        <f t="shared" si="7"/>
        <v>0</v>
      </c>
      <c r="AJ18" s="305">
        <f t="shared" si="7"/>
        <v>0</v>
      </c>
      <c r="AK18" s="305">
        <f t="shared" si="7"/>
        <v>0</v>
      </c>
      <c r="AL18" s="305">
        <f t="shared" si="7"/>
        <v>0</v>
      </c>
      <c r="AM18" s="305">
        <f t="shared" si="7"/>
        <v>0</v>
      </c>
      <c r="AN18" s="305">
        <f t="shared" si="7"/>
        <v>0</v>
      </c>
      <c r="AO18" s="305">
        <f t="shared" si="7"/>
        <v>0</v>
      </c>
      <c r="AP18" s="305">
        <f t="shared" si="7"/>
        <v>0</v>
      </c>
      <c r="AQ18" s="305">
        <f t="shared" si="7"/>
        <v>0</v>
      </c>
      <c r="AR18" s="305">
        <f t="shared" si="7"/>
        <v>0</v>
      </c>
      <c r="AS18" s="305">
        <f t="shared" si="7"/>
        <v>0</v>
      </c>
      <c r="AT18" s="305">
        <f t="shared" si="7"/>
        <v>0</v>
      </c>
      <c r="AU18" s="305">
        <f t="shared" si="7"/>
        <v>0</v>
      </c>
      <c r="AV18" s="305">
        <f t="shared" si="7"/>
        <v>0</v>
      </c>
      <c r="AW18" s="305">
        <f t="shared" si="7"/>
        <v>0</v>
      </c>
      <c r="AX18" s="305">
        <f t="shared" si="7"/>
        <v>0</v>
      </c>
      <c r="AY18" s="227">
        <f t="shared" si="2"/>
        <v>0</v>
      </c>
      <c r="AZ18" s="227">
        <f t="shared" si="2"/>
        <v>0</v>
      </c>
      <c r="BA18" s="227">
        <f t="shared" si="3"/>
        <v>0</v>
      </c>
      <c r="BC18" s="227">
        <f>+'[4]Actividades'!O18-O18</f>
        <v>0</v>
      </c>
      <c r="BD18" s="227">
        <f>+'[4]Actividades'!P18-P18</f>
        <v>0</v>
      </c>
      <c r="BE18" s="227">
        <f>+'[4]Actividades'!Q18-Q18</f>
        <v>0</v>
      </c>
      <c r="BF18" s="227">
        <f>+'[4]Actividades'!R18-R18</f>
        <v>0</v>
      </c>
    </row>
    <row r="19" spans="1:58" s="238" customFormat="1" ht="15">
      <c r="A19" s="230" t="s">
        <v>250</v>
      </c>
      <c r="B19" s="230"/>
      <c r="C19" s="231"/>
      <c r="D19" s="231"/>
      <c r="E19" s="231"/>
      <c r="F19" s="232"/>
      <c r="G19" s="232"/>
      <c r="H19" s="232"/>
      <c r="I19" s="232"/>
      <c r="J19" s="231"/>
      <c r="K19" s="233"/>
      <c r="L19" s="234"/>
      <c r="M19" s="235">
        <f aca="true" t="shared" si="8" ref="M19:R19">+M14+M16+M18</f>
        <v>87550000</v>
      </c>
      <c r="N19" s="235">
        <f t="shared" si="8"/>
        <v>87550000</v>
      </c>
      <c r="O19" s="235">
        <f t="shared" si="8"/>
        <v>87336400</v>
      </c>
      <c r="P19" s="235">
        <f t="shared" si="8"/>
        <v>32314468</v>
      </c>
      <c r="Q19" s="235">
        <f t="shared" si="8"/>
        <v>29252300</v>
      </c>
      <c r="R19" s="235">
        <f t="shared" si="8"/>
        <v>29252300</v>
      </c>
      <c r="S19" s="235">
        <f>SUBTOTAL(9,S13:S18)</f>
        <v>0</v>
      </c>
      <c r="T19" s="235">
        <f>SUBTOTAL(9,T13:T18)</f>
        <v>0</v>
      </c>
      <c r="U19" s="235">
        <f>+U14+U16+U18</f>
        <v>87550000</v>
      </c>
      <c r="V19" s="235">
        <f>+V14+V16+V18</f>
        <v>87336400</v>
      </c>
      <c r="W19" s="235" t="e">
        <f aca="true" t="shared" si="9" ref="W19:AW19">+W14+W16+W18</f>
        <v>#VALUE!</v>
      </c>
      <c r="X19" s="235">
        <f t="shared" si="9"/>
        <v>0</v>
      </c>
      <c r="Y19" s="235">
        <f t="shared" si="9"/>
        <v>0</v>
      </c>
      <c r="Z19" s="235"/>
      <c r="AA19" s="235">
        <f t="shared" si="9"/>
        <v>0</v>
      </c>
      <c r="AB19" s="235">
        <f t="shared" si="9"/>
        <v>0</v>
      </c>
      <c r="AC19" s="235"/>
      <c r="AD19" s="235">
        <f t="shared" si="9"/>
        <v>0</v>
      </c>
      <c r="AE19" s="235">
        <f t="shared" si="9"/>
        <v>0</v>
      </c>
      <c r="AF19" s="235"/>
      <c r="AG19" s="235">
        <f t="shared" si="9"/>
        <v>0</v>
      </c>
      <c r="AH19" s="235">
        <f t="shared" si="9"/>
        <v>0</v>
      </c>
      <c r="AI19" s="235"/>
      <c r="AJ19" s="235">
        <f t="shared" si="9"/>
        <v>0</v>
      </c>
      <c r="AK19" s="235">
        <f t="shared" si="9"/>
        <v>0</v>
      </c>
      <c r="AL19" s="235"/>
      <c r="AM19" s="235">
        <f t="shared" si="9"/>
        <v>0</v>
      </c>
      <c r="AN19" s="235">
        <f t="shared" si="9"/>
        <v>0</v>
      </c>
      <c r="AO19" s="235"/>
      <c r="AP19" s="235">
        <f t="shared" si="9"/>
        <v>0</v>
      </c>
      <c r="AQ19" s="235">
        <f t="shared" si="9"/>
        <v>0</v>
      </c>
      <c r="AR19" s="235"/>
      <c r="AS19" s="235">
        <f t="shared" si="9"/>
        <v>0</v>
      </c>
      <c r="AT19" s="235">
        <f t="shared" si="9"/>
        <v>0</v>
      </c>
      <c r="AU19" s="235"/>
      <c r="AV19" s="235">
        <f t="shared" si="9"/>
        <v>0</v>
      </c>
      <c r="AW19" s="235">
        <f t="shared" si="9"/>
        <v>0</v>
      </c>
      <c r="AX19" s="235"/>
      <c r="AY19" s="227">
        <f t="shared" si="2"/>
        <v>213600</v>
      </c>
      <c r="AZ19" s="227">
        <f t="shared" si="2"/>
        <v>55021932</v>
      </c>
      <c r="BA19" s="227">
        <f t="shared" si="3"/>
        <v>0</v>
      </c>
      <c r="BC19" s="227">
        <f>+'[4]Actividades'!O19-O19</f>
        <v>-15008080</v>
      </c>
      <c r="BD19" s="227">
        <f>+'[4]Actividades'!P19-P19</f>
        <v>23940892</v>
      </c>
      <c r="BE19" s="227">
        <f>+'[4]Actividades'!Q19-Q19</f>
        <v>6411320</v>
      </c>
      <c r="BF19" s="227">
        <f>+'[4]Actividades'!R19-R19</f>
        <v>4594180</v>
      </c>
    </row>
    <row r="20" spans="13:22" ht="15">
      <c r="M20" s="239">
        <f>+'Metas inversión 879'!Q65</f>
        <v>0</v>
      </c>
      <c r="N20" s="240">
        <f>+'Metas inversión 879'!R65</f>
        <v>0</v>
      </c>
      <c r="O20" s="240">
        <f>+'Metas inversión 879'!S65</f>
        <v>0</v>
      </c>
      <c r="P20" s="239">
        <f>+'Metas inversión 879'!T65</f>
        <v>0</v>
      </c>
      <c r="Q20" s="239"/>
      <c r="R20" s="239"/>
      <c r="U20" s="242">
        <f>+N20</f>
        <v>0</v>
      </c>
      <c r="V20" s="242">
        <f>+O20</f>
        <v>0</v>
      </c>
    </row>
    <row r="21" spans="13:22" ht="15">
      <c r="M21" s="239">
        <f>+M19-M20</f>
        <v>87550000</v>
      </c>
      <c r="N21" s="239">
        <f>+N19-N20</f>
        <v>87550000</v>
      </c>
      <c r="O21" s="239">
        <f>+O19-O20</f>
        <v>87336400</v>
      </c>
      <c r="P21" s="239">
        <f>+P19-P20</f>
        <v>32314468</v>
      </c>
      <c r="Q21" s="285"/>
      <c r="R21" s="285"/>
      <c r="U21" s="242">
        <f>+U19-U20</f>
        <v>87550000</v>
      </c>
      <c r="V21" s="242">
        <f>+V19-V20</f>
        <v>87336400</v>
      </c>
    </row>
    <row r="22" spans="14:22" ht="15">
      <c r="N22" s="243"/>
      <c r="U22" s="242"/>
      <c r="V22" s="242"/>
    </row>
    <row r="23" ht="15">
      <c r="N23" s="246"/>
    </row>
    <row r="24" ht="15"/>
    <row r="25" ht="15"/>
    <row r="26" ht="15">
      <c r="N26" s="246"/>
    </row>
    <row r="27" ht="15">
      <c r="N27" s="246"/>
    </row>
    <row r="28" ht="15">
      <c r="N28" s="246"/>
    </row>
    <row r="29" ht="15">
      <c r="N29" s="246"/>
    </row>
    <row r="30" ht="15">
      <c r="N30" s="246"/>
    </row>
    <row r="31" ht="15">
      <c r="N31" s="246"/>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sheetData>
  <sheetProtection/>
  <autoFilter ref="A12:AR18"/>
  <mergeCells count="32">
    <mergeCell ref="AM11:AO11"/>
    <mergeCell ref="AP11:AR11"/>
    <mergeCell ref="AS11:AU11"/>
    <mergeCell ref="AV11:AX11"/>
    <mergeCell ref="U11:W11"/>
    <mergeCell ref="X11:Z11"/>
    <mergeCell ref="AA11:AC11"/>
    <mergeCell ref="AD11:AF11"/>
    <mergeCell ref="AG11:AI11"/>
    <mergeCell ref="AJ11:AL11"/>
    <mergeCell ref="K11:L11"/>
    <mergeCell ref="M11:N11"/>
    <mergeCell ref="O11:P11"/>
    <mergeCell ref="Q11:R11"/>
    <mergeCell ref="S11:S12"/>
    <mergeCell ref="T11:T12"/>
    <mergeCell ref="AB1:AE8"/>
    <mergeCell ref="AH1:AJ8"/>
    <mergeCell ref="AK1:AR8"/>
    <mergeCell ref="AS1:AV8"/>
    <mergeCell ref="AW1:AY8"/>
    <mergeCell ref="B11:B12"/>
    <mergeCell ref="C11:C12"/>
    <mergeCell ref="E11:E12"/>
    <mergeCell ref="F11:F12"/>
    <mergeCell ref="G11:I11"/>
    <mergeCell ref="A1:C8"/>
    <mergeCell ref="D1:I8"/>
    <mergeCell ref="J1:M8"/>
    <mergeCell ref="N1:O8"/>
    <mergeCell ref="P1:R8"/>
    <mergeCell ref="S1:AA8"/>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3">
    <tabColor rgb="FF00B050"/>
  </sheetPr>
  <dimension ref="A1:V50"/>
  <sheetViews>
    <sheetView showGridLines="0" tabSelected="1" zoomScale="70" zoomScaleNormal="70" zoomScalePageLayoutView="0" workbookViewId="0" topLeftCell="A1">
      <selection activeCell="U49" sqref="U49"/>
    </sheetView>
  </sheetViews>
  <sheetFormatPr defaultColWidth="11.421875" defaultRowHeight="15" zeroHeight="1" outlineLevelRow="2"/>
  <cols>
    <col min="1" max="1" width="9.421875" style="8" customWidth="1"/>
    <col min="2" max="2" width="18.421875" style="50" customWidth="1"/>
    <col min="3" max="3" width="10.140625" style="8" customWidth="1"/>
    <col min="4" max="4" width="24.140625" style="5" customWidth="1"/>
    <col min="5" max="5" width="11.00390625" style="8" customWidth="1"/>
    <col min="6" max="6" width="24.140625" style="5" customWidth="1"/>
    <col min="7" max="7" width="8.7109375" style="8" customWidth="1"/>
    <col min="8" max="8" width="24.140625" style="5" customWidth="1"/>
    <col min="9" max="9" width="10.57421875" style="5" customWidth="1"/>
    <col min="10" max="10" width="27.00390625" style="5" customWidth="1"/>
    <col min="11" max="11" width="8.7109375" style="8" customWidth="1"/>
    <col min="12" max="12" width="30.421875" style="5" customWidth="1"/>
    <col min="13" max="13" width="8.7109375" style="35" customWidth="1"/>
    <col min="14" max="14" width="38.00390625" style="5" customWidth="1"/>
    <col min="15" max="17" width="8.7109375" style="8" customWidth="1"/>
    <col min="18" max="18" width="21.421875" style="5" customWidth="1"/>
    <col min="19" max="19" width="13.00390625" style="8" customWidth="1"/>
    <col min="20" max="20" width="11.421875" style="10" customWidth="1"/>
    <col min="21" max="22" width="70.57421875" style="5" customWidth="1"/>
    <col min="23" max="23" width="0" style="5" hidden="1" customWidth="1"/>
    <col min="24" max="16384" width="11.421875" style="5" customWidth="1"/>
  </cols>
  <sheetData>
    <row r="1" spans="14:17" ht="25.5">
      <c r="N1" s="2" t="s">
        <v>3</v>
      </c>
      <c r="O1" s="9"/>
      <c r="P1" s="9"/>
      <c r="Q1" s="9"/>
    </row>
    <row r="2" spans="1:22" ht="107.25" customHeight="1">
      <c r="A2" s="572" t="s">
        <v>17</v>
      </c>
      <c r="B2" s="563"/>
      <c r="C2" s="572" t="s">
        <v>10</v>
      </c>
      <c r="D2" s="563"/>
      <c r="E2" s="562" t="s">
        <v>16</v>
      </c>
      <c r="F2" s="563"/>
      <c r="G2" s="562" t="s">
        <v>11</v>
      </c>
      <c r="H2" s="563"/>
      <c r="I2" s="562" t="s">
        <v>19</v>
      </c>
      <c r="J2" s="563"/>
      <c r="K2" s="566" t="s">
        <v>9</v>
      </c>
      <c r="L2" s="567"/>
      <c r="M2" s="571" t="s">
        <v>8</v>
      </c>
      <c r="N2" s="477"/>
      <c r="O2" s="475" t="s">
        <v>18</v>
      </c>
      <c r="P2" s="476"/>
      <c r="Q2" s="477"/>
      <c r="R2" s="564" t="s">
        <v>7</v>
      </c>
      <c r="S2" s="478" t="s">
        <v>0</v>
      </c>
      <c r="T2" s="478"/>
      <c r="U2" s="455" t="s">
        <v>1</v>
      </c>
      <c r="V2" s="455" t="s">
        <v>2</v>
      </c>
    </row>
    <row r="3" spans="1:22" ht="28.5" customHeight="1">
      <c r="A3" s="1" t="s">
        <v>14</v>
      </c>
      <c r="B3" s="51" t="s">
        <v>15</v>
      </c>
      <c r="C3" s="1" t="s">
        <v>14</v>
      </c>
      <c r="D3" s="1" t="s">
        <v>15</v>
      </c>
      <c r="E3" s="1" t="s">
        <v>14</v>
      </c>
      <c r="F3" s="1" t="s">
        <v>15</v>
      </c>
      <c r="G3" s="1" t="s">
        <v>14</v>
      </c>
      <c r="H3" s="1" t="s">
        <v>15</v>
      </c>
      <c r="I3" s="1" t="s">
        <v>14</v>
      </c>
      <c r="J3" s="1" t="s">
        <v>15</v>
      </c>
      <c r="K3" s="7" t="s">
        <v>12</v>
      </c>
      <c r="L3" s="7" t="s">
        <v>13</v>
      </c>
      <c r="M3" s="53" t="s">
        <v>12</v>
      </c>
      <c r="N3" s="7" t="s">
        <v>13</v>
      </c>
      <c r="O3" s="4" t="s">
        <v>4</v>
      </c>
      <c r="P3" s="4" t="s">
        <v>5</v>
      </c>
      <c r="Q3" s="4" t="s">
        <v>6</v>
      </c>
      <c r="R3" s="565"/>
      <c r="S3" s="3" t="s">
        <v>115</v>
      </c>
      <c r="T3" s="67" t="s">
        <v>116</v>
      </c>
      <c r="U3" s="455"/>
      <c r="V3" s="455"/>
    </row>
    <row r="4" spans="1:22" s="30" customFormat="1" ht="161.25" customHeight="1" hidden="1" outlineLevel="2">
      <c r="A4" s="26">
        <v>7</v>
      </c>
      <c r="B4" s="52" t="s">
        <v>20</v>
      </c>
      <c r="C4" s="26">
        <v>5</v>
      </c>
      <c r="D4" s="27" t="s">
        <v>21</v>
      </c>
      <c r="E4" s="26">
        <v>3</v>
      </c>
      <c r="F4" s="27" t="s">
        <v>22</v>
      </c>
      <c r="G4" s="19">
        <v>872</v>
      </c>
      <c r="H4" s="27" t="s">
        <v>23</v>
      </c>
      <c r="I4" s="26">
        <v>6</v>
      </c>
      <c r="J4" s="28" t="s">
        <v>24</v>
      </c>
      <c r="K4" s="29">
        <v>1</v>
      </c>
      <c r="L4" s="27" t="s">
        <v>25</v>
      </c>
      <c r="M4" s="54">
        <v>1</v>
      </c>
      <c r="N4" s="25" t="s">
        <v>35</v>
      </c>
      <c r="O4" s="13" t="s">
        <v>37</v>
      </c>
      <c r="P4" s="13"/>
      <c r="Q4" s="13"/>
      <c r="R4" s="27" t="s">
        <v>38</v>
      </c>
      <c r="S4" s="74">
        <v>0.25</v>
      </c>
      <c r="T4" s="68"/>
      <c r="U4" s="12"/>
      <c r="V4" s="12"/>
    </row>
    <row r="5" spans="1:22" s="30" customFormat="1" ht="161.25" customHeight="1" hidden="1" outlineLevel="2">
      <c r="A5" s="26">
        <v>7</v>
      </c>
      <c r="B5" s="52" t="s">
        <v>20</v>
      </c>
      <c r="C5" s="26">
        <v>5</v>
      </c>
      <c r="D5" s="27" t="s">
        <v>21</v>
      </c>
      <c r="E5" s="26">
        <v>3</v>
      </c>
      <c r="F5" s="27" t="s">
        <v>22</v>
      </c>
      <c r="G5" s="19">
        <v>872</v>
      </c>
      <c r="H5" s="27" t="s">
        <v>23</v>
      </c>
      <c r="I5" s="26">
        <v>6</v>
      </c>
      <c r="J5" s="28" t="s">
        <v>24</v>
      </c>
      <c r="K5" s="29">
        <v>1</v>
      </c>
      <c r="L5" s="27" t="s">
        <v>25</v>
      </c>
      <c r="M5" s="54">
        <v>2</v>
      </c>
      <c r="N5" s="25" t="s">
        <v>36</v>
      </c>
      <c r="O5" s="13" t="s">
        <v>37</v>
      </c>
      <c r="P5" s="13"/>
      <c r="Q5" s="13"/>
      <c r="R5" s="27" t="s">
        <v>39</v>
      </c>
      <c r="S5" s="75">
        <v>4</v>
      </c>
      <c r="T5" s="69"/>
      <c r="U5" s="12"/>
      <c r="V5" s="12"/>
    </row>
    <row r="6" spans="1:22" s="30" customFormat="1" ht="161.25" customHeight="1" hidden="1" outlineLevel="2">
      <c r="A6" s="26">
        <v>7</v>
      </c>
      <c r="B6" s="52" t="s">
        <v>20</v>
      </c>
      <c r="C6" s="26">
        <v>5</v>
      </c>
      <c r="D6" s="27" t="s">
        <v>21</v>
      </c>
      <c r="E6" s="26">
        <v>3</v>
      </c>
      <c r="F6" s="27" t="s">
        <v>22</v>
      </c>
      <c r="G6" s="19">
        <v>872</v>
      </c>
      <c r="H6" s="27" t="s">
        <v>23</v>
      </c>
      <c r="I6" s="26">
        <v>6</v>
      </c>
      <c r="J6" s="28" t="s">
        <v>24</v>
      </c>
      <c r="K6" s="29">
        <v>1</v>
      </c>
      <c r="L6" s="27" t="s">
        <v>25</v>
      </c>
      <c r="M6" s="54">
        <v>3</v>
      </c>
      <c r="N6" s="25" t="s">
        <v>117</v>
      </c>
      <c r="O6" s="13" t="s">
        <v>37</v>
      </c>
      <c r="P6" s="13"/>
      <c r="Q6" s="13"/>
      <c r="R6" s="27" t="s">
        <v>40</v>
      </c>
      <c r="S6" s="75">
        <v>6</v>
      </c>
      <c r="T6" s="69"/>
      <c r="U6" s="12"/>
      <c r="V6" s="12"/>
    </row>
    <row r="7" spans="1:22" s="30" customFormat="1" ht="161.25" customHeight="1" outlineLevel="2">
      <c r="A7" s="77">
        <v>7</v>
      </c>
      <c r="B7" s="78" t="s">
        <v>20</v>
      </c>
      <c r="C7" s="77">
        <v>5</v>
      </c>
      <c r="D7" s="79" t="s">
        <v>21</v>
      </c>
      <c r="E7" s="77">
        <v>3</v>
      </c>
      <c r="F7" s="79" t="s">
        <v>22</v>
      </c>
      <c r="G7" s="80">
        <v>872</v>
      </c>
      <c r="H7" s="79" t="s">
        <v>23</v>
      </c>
      <c r="I7" s="77">
        <v>6</v>
      </c>
      <c r="J7" s="81" t="s">
        <v>24</v>
      </c>
      <c r="K7" s="82">
        <v>1</v>
      </c>
      <c r="L7" s="79" t="s">
        <v>25</v>
      </c>
      <c r="M7" s="83">
        <v>4</v>
      </c>
      <c r="N7" s="79" t="s">
        <v>27</v>
      </c>
      <c r="O7" s="11"/>
      <c r="P7" s="11"/>
      <c r="Q7" s="11" t="s">
        <v>26</v>
      </c>
      <c r="R7" s="79" t="s">
        <v>29</v>
      </c>
      <c r="S7" s="84">
        <v>1</v>
      </c>
      <c r="T7" s="138">
        <v>0.5833333333333333</v>
      </c>
      <c r="U7" s="134" t="s">
        <v>142</v>
      </c>
      <c r="V7" s="12"/>
    </row>
    <row r="8" spans="1:22" s="30" customFormat="1" ht="161.25" customHeight="1" outlineLevel="2">
      <c r="A8" s="77">
        <v>7</v>
      </c>
      <c r="B8" s="78" t="s">
        <v>20</v>
      </c>
      <c r="C8" s="77">
        <v>5</v>
      </c>
      <c r="D8" s="79" t="s">
        <v>21</v>
      </c>
      <c r="E8" s="77">
        <v>3</v>
      </c>
      <c r="F8" s="79" t="s">
        <v>22</v>
      </c>
      <c r="G8" s="80">
        <v>872</v>
      </c>
      <c r="H8" s="79" t="s">
        <v>23</v>
      </c>
      <c r="I8" s="77">
        <v>6</v>
      </c>
      <c r="J8" s="81" t="s">
        <v>24</v>
      </c>
      <c r="K8" s="82">
        <v>1</v>
      </c>
      <c r="L8" s="79" t="s">
        <v>25</v>
      </c>
      <c r="M8" s="83">
        <v>5</v>
      </c>
      <c r="N8" s="79" t="s">
        <v>28</v>
      </c>
      <c r="O8" s="11"/>
      <c r="P8" s="11"/>
      <c r="Q8" s="11" t="s">
        <v>26</v>
      </c>
      <c r="R8" s="79" t="s">
        <v>30</v>
      </c>
      <c r="S8" s="84">
        <v>1</v>
      </c>
      <c r="T8" s="138">
        <v>0.5833333333333333</v>
      </c>
      <c r="U8" s="134" t="s">
        <v>143</v>
      </c>
      <c r="V8" s="12"/>
    </row>
    <row r="9" spans="1:22" s="31" customFormat="1" ht="18" customHeight="1">
      <c r="A9" s="568"/>
      <c r="B9" s="569"/>
      <c r="C9" s="570"/>
      <c r="D9" s="14"/>
      <c r="E9" s="14"/>
      <c r="F9" s="14"/>
      <c r="G9" s="14"/>
      <c r="H9" s="14"/>
      <c r="I9" s="14"/>
      <c r="J9" s="14"/>
      <c r="K9" s="14"/>
      <c r="L9" s="14"/>
      <c r="M9" s="55"/>
      <c r="N9" s="15"/>
      <c r="O9" s="15"/>
      <c r="P9" s="15"/>
      <c r="Q9" s="15"/>
      <c r="R9" s="14"/>
      <c r="S9" s="16"/>
      <c r="T9" s="70"/>
      <c r="U9" s="66"/>
      <c r="V9" s="66"/>
    </row>
    <row r="10" spans="1:22" s="33" customFormat="1" ht="161.25" customHeight="1" hidden="1" outlineLevel="2">
      <c r="A10" s="17">
        <v>7</v>
      </c>
      <c r="B10" s="20" t="s">
        <v>41</v>
      </c>
      <c r="C10" s="17">
        <v>2</v>
      </c>
      <c r="D10" s="18" t="s">
        <v>42</v>
      </c>
      <c r="E10" s="19">
        <v>30</v>
      </c>
      <c r="F10" s="18" t="s">
        <v>22</v>
      </c>
      <c r="G10" s="19">
        <v>886</v>
      </c>
      <c r="H10" s="20" t="s">
        <v>43</v>
      </c>
      <c r="I10" s="21">
        <v>1</v>
      </c>
      <c r="J10" s="45" t="s">
        <v>44</v>
      </c>
      <c r="K10" s="93">
        <v>1</v>
      </c>
      <c r="L10" s="18" t="s">
        <v>45</v>
      </c>
      <c r="M10" s="46">
        <v>1</v>
      </c>
      <c r="N10" s="18" t="s">
        <v>53</v>
      </c>
      <c r="O10" s="13"/>
      <c r="P10" s="19" t="s">
        <v>26</v>
      </c>
      <c r="Q10" s="19"/>
      <c r="R10" s="20" t="s">
        <v>78</v>
      </c>
      <c r="S10" s="32">
        <v>0.25</v>
      </c>
      <c r="T10" s="71"/>
      <c r="U10" s="22"/>
      <c r="V10" s="22"/>
    </row>
    <row r="11" spans="1:22" s="33" customFormat="1" ht="161.25" customHeight="1" hidden="1" outlineLevel="2">
      <c r="A11" s="17">
        <v>7</v>
      </c>
      <c r="B11" s="20" t="s">
        <v>41</v>
      </c>
      <c r="C11" s="17">
        <v>2</v>
      </c>
      <c r="D11" s="18" t="s">
        <v>42</v>
      </c>
      <c r="E11" s="19">
        <v>30</v>
      </c>
      <c r="F11" s="18" t="s">
        <v>22</v>
      </c>
      <c r="G11" s="19">
        <v>886</v>
      </c>
      <c r="H11" s="20" t="s">
        <v>43</v>
      </c>
      <c r="I11" s="21">
        <v>1</v>
      </c>
      <c r="J11" s="45" t="s">
        <v>44</v>
      </c>
      <c r="K11" s="93">
        <v>1</v>
      </c>
      <c r="L11" s="18" t="s">
        <v>45</v>
      </c>
      <c r="M11" s="46">
        <v>2</v>
      </c>
      <c r="N11" s="18" t="s">
        <v>54</v>
      </c>
      <c r="O11" s="13"/>
      <c r="P11" s="19" t="s">
        <v>26</v>
      </c>
      <c r="Q11" s="19"/>
      <c r="R11" s="20" t="s">
        <v>79</v>
      </c>
      <c r="S11" s="32">
        <v>1</v>
      </c>
      <c r="T11" s="71"/>
      <c r="U11" s="22"/>
      <c r="V11" s="22"/>
    </row>
    <row r="12" spans="1:22" s="33" customFormat="1" ht="161.25" customHeight="1" hidden="1" outlineLevel="2">
      <c r="A12" s="17">
        <v>7</v>
      </c>
      <c r="B12" s="20" t="s">
        <v>41</v>
      </c>
      <c r="C12" s="17">
        <v>2</v>
      </c>
      <c r="D12" s="18" t="s">
        <v>42</v>
      </c>
      <c r="E12" s="19">
        <v>30</v>
      </c>
      <c r="F12" s="18" t="s">
        <v>22</v>
      </c>
      <c r="G12" s="19">
        <v>886</v>
      </c>
      <c r="H12" s="20" t="s">
        <v>43</v>
      </c>
      <c r="I12" s="21">
        <v>1</v>
      </c>
      <c r="J12" s="45" t="s">
        <v>44</v>
      </c>
      <c r="K12" s="93">
        <v>1</v>
      </c>
      <c r="L12" s="18" t="s">
        <v>45</v>
      </c>
      <c r="M12" s="46">
        <v>3</v>
      </c>
      <c r="N12" s="18" t="s">
        <v>55</v>
      </c>
      <c r="O12" s="13"/>
      <c r="P12" s="19" t="s">
        <v>26</v>
      </c>
      <c r="Q12" s="19"/>
      <c r="R12" s="20" t="s">
        <v>80</v>
      </c>
      <c r="S12" s="32">
        <v>1</v>
      </c>
      <c r="T12" s="71"/>
      <c r="U12" s="22"/>
      <c r="V12" s="22"/>
    </row>
    <row r="13" spans="1:22" s="44" customFormat="1" ht="15" customHeight="1" hidden="1" outlineLevel="2">
      <c r="A13" s="36"/>
      <c r="B13" s="39"/>
      <c r="C13" s="36"/>
      <c r="D13" s="37"/>
      <c r="E13" s="36"/>
      <c r="F13" s="37"/>
      <c r="G13" s="38"/>
      <c r="H13" s="37"/>
      <c r="I13" s="38"/>
      <c r="J13" s="39"/>
      <c r="K13" s="40"/>
      <c r="L13" s="37"/>
      <c r="M13" s="56"/>
      <c r="N13" s="37"/>
      <c r="O13" s="41"/>
      <c r="P13" s="38"/>
      <c r="Q13" s="38"/>
      <c r="R13" s="39"/>
      <c r="S13" s="42"/>
      <c r="T13" s="72"/>
      <c r="U13" s="43"/>
      <c r="V13" s="43"/>
    </row>
    <row r="14" spans="1:22" s="33" customFormat="1" ht="101.25" customHeight="1" hidden="1" outlineLevel="2">
      <c r="A14" s="21">
        <v>7</v>
      </c>
      <c r="B14" s="49" t="s">
        <v>48</v>
      </c>
      <c r="C14" s="21">
        <v>3</v>
      </c>
      <c r="D14" s="47" t="s">
        <v>49</v>
      </c>
      <c r="E14" s="48">
        <v>2</v>
      </c>
      <c r="F14" s="47" t="s">
        <v>50</v>
      </c>
      <c r="G14" s="48">
        <v>886</v>
      </c>
      <c r="H14" s="49" t="s">
        <v>51</v>
      </c>
      <c r="I14" s="21">
        <v>1</v>
      </c>
      <c r="J14" s="45" t="s">
        <v>44</v>
      </c>
      <c r="K14" s="94">
        <v>2</v>
      </c>
      <c r="L14" s="18" t="s">
        <v>52</v>
      </c>
      <c r="M14" s="54">
        <v>1</v>
      </c>
      <c r="N14" s="34" t="s">
        <v>74</v>
      </c>
      <c r="O14" s="13"/>
      <c r="P14" s="19" t="s">
        <v>37</v>
      </c>
      <c r="Q14" s="13"/>
      <c r="R14" s="34" t="s">
        <v>98</v>
      </c>
      <c r="S14" s="76">
        <v>0.25</v>
      </c>
      <c r="T14" s="71"/>
      <c r="U14" s="22"/>
      <c r="V14" s="22"/>
    </row>
    <row r="15" spans="1:22" s="33" customFormat="1" ht="101.25" customHeight="1" hidden="1" outlineLevel="2">
      <c r="A15" s="21">
        <v>7</v>
      </c>
      <c r="B15" s="49" t="s">
        <v>48</v>
      </c>
      <c r="C15" s="21">
        <v>3</v>
      </c>
      <c r="D15" s="47" t="s">
        <v>49</v>
      </c>
      <c r="E15" s="48">
        <v>2</v>
      </c>
      <c r="F15" s="47" t="s">
        <v>50</v>
      </c>
      <c r="G15" s="48">
        <v>886</v>
      </c>
      <c r="H15" s="49" t="s">
        <v>51</v>
      </c>
      <c r="I15" s="21">
        <v>1</v>
      </c>
      <c r="J15" s="45" t="s">
        <v>44</v>
      </c>
      <c r="K15" s="94">
        <v>2</v>
      </c>
      <c r="L15" s="18" t="s">
        <v>52</v>
      </c>
      <c r="M15" s="54">
        <v>2</v>
      </c>
      <c r="N15" s="34" t="s">
        <v>75</v>
      </c>
      <c r="O15" s="13"/>
      <c r="P15" s="19" t="s">
        <v>37</v>
      </c>
      <c r="Q15" s="13"/>
      <c r="R15" s="34" t="s">
        <v>99</v>
      </c>
      <c r="S15" s="76">
        <v>0.25</v>
      </c>
      <c r="T15" s="71"/>
      <c r="U15" s="22"/>
      <c r="V15" s="22"/>
    </row>
    <row r="16" spans="1:22" s="33" customFormat="1" ht="101.25" customHeight="1" hidden="1" outlineLevel="2">
      <c r="A16" s="21">
        <v>7</v>
      </c>
      <c r="B16" s="49" t="s">
        <v>48</v>
      </c>
      <c r="C16" s="21">
        <v>3</v>
      </c>
      <c r="D16" s="47" t="s">
        <v>49</v>
      </c>
      <c r="E16" s="48">
        <v>2</v>
      </c>
      <c r="F16" s="47" t="s">
        <v>50</v>
      </c>
      <c r="G16" s="48">
        <v>886</v>
      </c>
      <c r="H16" s="49" t="s">
        <v>51</v>
      </c>
      <c r="I16" s="21">
        <v>1</v>
      </c>
      <c r="J16" s="45" t="s">
        <v>44</v>
      </c>
      <c r="K16" s="94">
        <v>2</v>
      </c>
      <c r="L16" s="18" t="s">
        <v>52</v>
      </c>
      <c r="M16" s="54">
        <v>3</v>
      </c>
      <c r="N16" s="34" t="s">
        <v>76</v>
      </c>
      <c r="O16" s="13"/>
      <c r="P16" s="19" t="s">
        <v>37</v>
      </c>
      <c r="Q16" s="13"/>
      <c r="R16" s="34" t="s">
        <v>100</v>
      </c>
      <c r="S16" s="76">
        <v>0.25</v>
      </c>
      <c r="T16" s="71"/>
      <c r="U16" s="22"/>
      <c r="V16" s="22"/>
    </row>
    <row r="17" spans="1:22" s="33" customFormat="1" ht="101.25" customHeight="1" hidden="1" outlineLevel="2">
      <c r="A17" s="21">
        <v>7</v>
      </c>
      <c r="B17" s="49" t="s">
        <v>48</v>
      </c>
      <c r="C17" s="21">
        <v>3</v>
      </c>
      <c r="D17" s="47" t="s">
        <v>49</v>
      </c>
      <c r="E17" s="48">
        <v>2</v>
      </c>
      <c r="F17" s="47" t="s">
        <v>50</v>
      </c>
      <c r="G17" s="48">
        <v>886</v>
      </c>
      <c r="H17" s="49" t="s">
        <v>51</v>
      </c>
      <c r="I17" s="21">
        <v>1</v>
      </c>
      <c r="J17" s="45" t="s">
        <v>44</v>
      </c>
      <c r="K17" s="94">
        <v>2</v>
      </c>
      <c r="L17" s="18" t="s">
        <v>52</v>
      </c>
      <c r="M17" s="54">
        <v>4</v>
      </c>
      <c r="N17" s="18" t="s">
        <v>77</v>
      </c>
      <c r="O17" s="13"/>
      <c r="P17" s="19" t="s">
        <v>37</v>
      </c>
      <c r="Q17" s="13"/>
      <c r="R17" s="24" t="s">
        <v>101</v>
      </c>
      <c r="S17" s="76">
        <v>0.25</v>
      </c>
      <c r="T17" s="71"/>
      <c r="U17" s="22"/>
      <c r="V17" s="22"/>
    </row>
    <row r="18" spans="1:22" s="44" customFormat="1" ht="15" customHeight="1" hidden="1" outlineLevel="2">
      <c r="A18" s="36"/>
      <c r="B18" s="39"/>
      <c r="C18" s="36"/>
      <c r="D18" s="37"/>
      <c r="E18" s="36"/>
      <c r="F18" s="37"/>
      <c r="G18" s="38"/>
      <c r="H18" s="37"/>
      <c r="I18" s="38"/>
      <c r="J18" s="39"/>
      <c r="K18" s="40"/>
      <c r="L18" s="37"/>
      <c r="M18" s="56"/>
      <c r="N18" s="37"/>
      <c r="O18" s="41"/>
      <c r="P18" s="38"/>
      <c r="Q18" s="38"/>
      <c r="R18" s="39"/>
      <c r="S18" s="42"/>
      <c r="T18" s="72"/>
      <c r="U18" s="43"/>
      <c r="V18" s="43"/>
    </row>
    <row r="19" spans="1:22" s="33" customFormat="1" ht="161.25" customHeight="1" hidden="1" outlineLevel="2">
      <c r="A19" s="17">
        <v>7</v>
      </c>
      <c r="B19" s="18" t="s">
        <v>41</v>
      </c>
      <c r="C19" s="17">
        <v>3</v>
      </c>
      <c r="D19" s="18" t="s">
        <v>102</v>
      </c>
      <c r="E19" s="19">
        <v>30</v>
      </c>
      <c r="F19" s="18" t="s">
        <v>22</v>
      </c>
      <c r="G19" s="19">
        <v>886</v>
      </c>
      <c r="H19" s="20" t="s">
        <v>43</v>
      </c>
      <c r="I19" s="21">
        <v>1</v>
      </c>
      <c r="J19" s="45" t="s">
        <v>44</v>
      </c>
      <c r="K19" s="93">
        <v>3</v>
      </c>
      <c r="L19" s="18" t="s">
        <v>46</v>
      </c>
      <c r="M19" s="54">
        <v>1</v>
      </c>
      <c r="N19" s="18" t="s">
        <v>56</v>
      </c>
      <c r="O19" s="13"/>
      <c r="P19" s="19" t="s">
        <v>26</v>
      </c>
      <c r="Q19" s="19"/>
      <c r="R19" s="20" t="s">
        <v>81</v>
      </c>
      <c r="S19" s="23">
        <v>1</v>
      </c>
      <c r="T19" s="71"/>
      <c r="U19" s="22"/>
      <c r="V19" s="22"/>
    </row>
    <row r="20" spans="1:22" s="33" customFormat="1" ht="161.25" customHeight="1" hidden="1" outlineLevel="2">
      <c r="A20" s="17">
        <v>7</v>
      </c>
      <c r="B20" s="18" t="s">
        <v>41</v>
      </c>
      <c r="C20" s="17">
        <v>3</v>
      </c>
      <c r="D20" s="18" t="s">
        <v>102</v>
      </c>
      <c r="E20" s="19">
        <v>30</v>
      </c>
      <c r="F20" s="18" t="s">
        <v>22</v>
      </c>
      <c r="G20" s="19">
        <v>886</v>
      </c>
      <c r="H20" s="20" t="s">
        <v>43</v>
      </c>
      <c r="I20" s="21">
        <v>1</v>
      </c>
      <c r="J20" s="45" t="s">
        <v>44</v>
      </c>
      <c r="K20" s="93">
        <v>3</v>
      </c>
      <c r="L20" s="18" t="s">
        <v>46</v>
      </c>
      <c r="M20" s="54">
        <v>2</v>
      </c>
      <c r="N20" s="18" t="s">
        <v>57</v>
      </c>
      <c r="O20" s="13"/>
      <c r="P20" s="19" t="s">
        <v>26</v>
      </c>
      <c r="Q20" s="19"/>
      <c r="R20" s="20" t="s">
        <v>82</v>
      </c>
      <c r="S20" s="23">
        <v>1</v>
      </c>
      <c r="T20" s="71"/>
      <c r="U20" s="22"/>
      <c r="V20" s="22"/>
    </row>
    <row r="21" spans="1:22" s="44" customFormat="1" ht="15" customHeight="1" hidden="1" outlineLevel="2">
      <c r="A21" s="36"/>
      <c r="B21" s="39"/>
      <c r="C21" s="36"/>
      <c r="D21" s="37"/>
      <c r="E21" s="36"/>
      <c r="F21" s="37"/>
      <c r="G21" s="38"/>
      <c r="H21" s="37"/>
      <c r="I21" s="38"/>
      <c r="J21" s="39"/>
      <c r="K21" s="40"/>
      <c r="L21" s="37"/>
      <c r="M21" s="56"/>
      <c r="N21" s="37"/>
      <c r="O21" s="41"/>
      <c r="P21" s="38"/>
      <c r="Q21" s="38"/>
      <c r="R21" s="39"/>
      <c r="S21" s="42"/>
      <c r="T21" s="72"/>
      <c r="U21" s="43"/>
      <c r="V21" s="43"/>
    </row>
    <row r="22" spans="1:22" s="33" customFormat="1" ht="153" customHeight="1" hidden="1" outlineLevel="2">
      <c r="A22" s="17">
        <v>7</v>
      </c>
      <c r="B22" s="18" t="s">
        <v>41</v>
      </c>
      <c r="C22" s="17">
        <v>3</v>
      </c>
      <c r="D22" s="18" t="s">
        <v>102</v>
      </c>
      <c r="E22" s="19">
        <v>30</v>
      </c>
      <c r="F22" s="18" t="s">
        <v>22</v>
      </c>
      <c r="G22" s="19">
        <v>886</v>
      </c>
      <c r="H22" s="20" t="s">
        <v>43</v>
      </c>
      <c r="I22" s="21">
        <v>1</v>
      </c>
      <c r="J22" s="45" t="s">
        <v>44</v>
      </c>
      <c r="K22" s="93">
        <v>4</v>
      </c>
      <c r="L22" s="18" t="s">
        <v>47</v>
      </c>
      <c r="M22" s="46">
        <v>1</v>
      </c>
      <c r="N22" s="18" t="s">
        <v>58</v>
      </c>
      <c r="O22" s="19"/>
      <c r="P22" s="19" t="s">
        <v>26</v>
      </c>
      <c r="Q22" s="19"/>
      <c r="R22" s="20" t="s">
        <v>83</v>
      </c>
      <c r="S22" s="57">
        <v>1</v>
      </c>
      <c r="T22" s="71"/>
      <c r="U22" s="22"/>
      <c r="V22" s="22"/>
    </row>
    <row r="23" spans="1:22" s="33" customFormat="1" ht="153" customHeight="1" hidden="1" outlineLevel="2">
      <c r="A23" s="17">
        <v>7</v>
      </c>
      <c r="B23" s="18" t="s">
        <v>41</v>
      </c>
      <c r="C23" s="17">
        <v>3</v>
      </c>
      <c r="D23" s="18" t="s">
        <v>102</v>
      </c>
      <c r="E23" s="19">
        <v>30</v>
      </c>
      <c r="F23" s="18" t="s">
        <v>22</v>
      </c>
      <c r="G23" s="19">
        <v>886</v>
      </c>
      <c r="H23" s="20" t="s">
        <v>43</v>
      </c>
      <c r="I23" s="21">
        <v>1</v>
      </c>
      <c r="J23" s="45" t="s">
        <v>44</v>
      </c>
      <c r="K23" s="93">
        <v>4</v>
      </c>
      <c r="L23" s="18" t="s">
        <v>47</v>
      </c>
      <c r="M23" s="46">
        <v>2</v>
      </c>
      <c r="N23" s="18" t="s">
        <v>59</v>
      </c>
      <c r="O23" s="19"/>
      <c r="P23" s="19" t="s">
        <v>26</v>
      </c>
      <c r="Q23" s="19"/>
      <c r="R23" s="20" t="s">
        <v>84</v>
      </c>
      <c r="S23" s="58">
        <v>18</v>
      </c>
      <c r="T23" s="73"/>
      <c r="U23" s="22"/>
      <c r="V23" s="22"/>
    </row>
    <row r="24" spans="1:22" s="33" customFormat="1" ht="153" customHeight="1" hidden="1" outlineLevel="2">
      <c r="A24" s="17">
        <v>7</v>
      </c>
      <c r="B24" s="18" t="s">
        <v>41</v>
      </c>
      <c r="C24" s="17">
        <v>3</v>
      </c>
      <c r="D24" s="18" t="s">
        <v>102</v>
      </c>
      <c r="E24" s="19">
        <v>30</v>
      </c>
      <c r="F24" s="18" t="s">
        <v>22</v>
      </c>
      <c r="G24" s="19">
        <v>886</v>
      </c>
      <c r="H24" s="20" t="s">
        <v>43</v>
      </c>
      <c r="I24" s="21">
        <v>1</v>
      </c>
      <c r="J24" s="45" t="s">
        <v>44</v>
      </c>
      <c r="K24" s="93">
        <v>4</v>
      </c>
      <c r="L24" s="18" t="s">
        <v>47</v>
      </c>
      <c r="M24" s="46">
        <v>3</v>
      </c>
      <c r="N24" s="18" t="s">
        <v>60</v>
      </c>
      <c r="O24" s="19"/>
      <c r="P24" s="19" t="s">
        <v>26</v>
      </c>
      <c r="Q24" s="19"/>
      <c r="R24" s="20" t="s">
        <v>85</v>
      </c>
      <c r="S24" s="59" t="s">
        <v>128</v>
      </c>
      <c r="T24" s="73"/>
      <c r="U24" s="22"/>
      <c r="V24" s="22"/>
    </row>
    <row r="25" spans="1:22" s="33" customFormat="1" ht="153" customHeight="1" hidden="1" outlineLevel="2">
      <c r="A25" s="17">
        <v>7</v>
      </c>
      <c r="B25" s="18" t="s">
        <v>41</v>
      </c>
      <c r="C25" s="17">
        <v>3</v>
      </c>
      <c r="D25" s="18" t="s">
        <v>102</v>
      </c>
      <c r="E25" s="19">
        <v>30</v>
      </c>
      <c r="F25" s="18" t="s">
        <v>22</v>
      </c>
      <c r="G25" s="19">
        <v>886</v>
      </c>
      <c r="H25" s="20" t="s">
        <v>43</v>
      </c>
      <c r="I25" s="21">
        <v>1</v>
      </c>
      <c r="J25" s="45" t="s">
        <v>44</v>
      </c>
      <c r="K25" s="93">
        <v>4</v>
      </c>
      <c r="L25" s="18" t="s">
        <v>47</v>
      </c>
      <c r="M25" s="46">
        <v>4</v>
      </c>
      <c r="N25" s="18" t="s">
        <v>61</v>
      </c>
      <c r="O25" s="19"/>
      <c r="P25" s="19" t="s">
        <v>26</v>
      </c>
      <c r="Q25" s="19"/>
      <c r="R25" s="20" t="s">
        <v>86</v>
      </c>
      <c r="S25" s="57">
        <v>0.25</v>
      </c>
      <c r="T25" s="71"/>
      <c r="U25" s="22"/>
      <c r="V25" s="22"/>
    </row>
    <row r="26" spans="1:22" s="33" customFormat="1" ht="153" customHeight="1" hidden="1" outlineLevel="2">
      <c r="A26" s="17">
        <v>7</v>
      </c>
      <c r="B26" s="18" t="s">
        <v>41</v>
      </c>
      <c r="C26" s="17">
        <v>3</v>
      </c>
      <c r="D26" s="18" t="s">
        <v>102</v>
      </c>
      <c r="E26" s="19">
        <v>30</v>
      </c>
      <c r="F26" s="18" t="s">
        <v>22</v>
      </c>
      <c r="G26" s="19">
        <v>886</v>
      </c>
      <c r="H26" s="20" t="s">
        <v>43</v>
      </c>
      <c r="I26" s="21">
        <v>1</v>
      </c>
      <c r="J26" s="45" t="s">
        <v>44</v>
      </c>
      <c r="K26" s="93">
        <v>4</v>
      </c>
      <c r="L26" s="18" t="s">
        <v>47</v>
      </c>
      <c r="M26" s="46">
        <v>5</v>
      </c>
      <c r="N26" s="18" t="s">
        <v>62</v>
      </c>
      <c r="O26" s="19"/>
      <c r="P26" s="19" t="s">
        <v>26</v>
      </c>
      <c r="Q26" s="19"/>
      <c r="R26" s="20" t="s">
        <v>87</v>
      </c>
      <c r="S26" s="57">
        <v>0.25</v>
      </c>
      <c r="T26" s="71"/>
      <c r="U26" s="22"/>
      <c r="V26" s="22"/>
    </row>
    <row r="27" spans="1:22" s="33" customFormat="1" ht="153" customHeight="1" hidden="1" outlineLevel="2">
      <c r="A27" s="17">
        <v>7</v>
      </c>
      <c r="B27" s="18" t="s">
        <v>41</v>
      </c>
      <c r="C27" s="17">
        <v>3</v>
      </c>
      <c r="D27" s="18" t="s">
        <v>102</v>
      </c>
      <c r="E27" s="19">
        <v>30</v>
      </c>
      <c r="F27" s="18" t="s">
        <v>22</v>
      </c>
      <c r="G27" s="19">
        <v>886</v>
      </c>
      <c r="H27" s="20" t="s">
        <v>43</v>
      </c>
      <c r="I27" s="21">
        <v>1</v>
      </c>
      <c r="J27" s="45" t="s">
        <v>44</v>
      </c>
      <c r="K27" s="93">
        <v>4</v>
      </c>
      <c r="L27" s="18" t="s">
        <v>47</v>
      </c>
      <c r="M27" s="46">
        <v>6</v>
      </c>
      <c r="N27" s="18" t="s">
        <v>63</v>
      </c>
      <c r="O27" s="19"/>
      <c r="P27" s="19" t="s">
        <v>26</v>
      </c>
      <c r="Q27" s="19"/>
      <c r="R27" s="20" t="s">
        <v>88</v>
      </c>
      <c r="S27" s="57">
        <v>0.25</v>
      </c>
      <c r="T27" s="71"/>
      <c r="U27" s="22"/>
      <c r="V27" s="22"/>
    </row>
    <row r="28" spans="1:22" s="33" customFormat="1" ht="153" customHeight="1" hidden="1" outlineLevel="2">
      <c r="A28" s="17">
        <v>7</v>
      </c>
      <c r="B28" s="18" t="s">
        <v>41</v>
      </c>
      <c r="C28" s="17">
        <v>3</v>
      </c>
      <c r="D28" s="18" t="s">
        <v>102</v>
      </c>
      <c r="E28" s="19">
        <v>30</v>
      </c>
      <c r="F28" s="18" t="s">
        <v>22</v>
      </c>
      <c r="G28" s="19">
        <v>886</v>
      </c>
      <c r="H28" s="20" t="s">
        <v>43</v>
      </c>
      <c r="I28" s="21">
        <v>1</v>
      </c>
      <c r="J28" s="45" t="s">
        <v>44</v>
      </c>
      <c r="K28" s="93">
        <v>4</v>
      </c>
      <c r="L28" s="18" t="s">
        <v>47</v>
      </c>
      <c r="M28" s="46">
        <v>7</v>
      </c>
      <c r="N28" s="18" t="s">
        <v>64</v>
      </c>
      <c r="O28" s="19"/>
      <c r="P28" s="19" t="s">
        <v>26</v>
      </c>
      <c r="Q28" s="19"/>
      <c r="R28" s="20" t="s">
        <v>89</v>
      </c>
      <c r="S28" s="58">
        <v>1</v>
      </c>
      <c r="T28" s="73"/>
      <c r="U28" s="22"/>
      <c r="V28" s="22"/>
    </row>
    <row r="29" spans="1:22" s="33" customFormat="1" ht="153" customHeight="1" hidden="1" outlineLevel="2">
      <c r="A29" s="17">
        <v>7</v>
      </c>
      <c r="B29" s="18" t="s">
        <v>41</v>
      </c>
      <c r="C29" s="17">
        <v>3</v>
      </c>
      <c r="D29" s="18" t="s">
        <v>102</v>
      </c>
      <c r="E29" s="19">
        <v>30</v>
      </c>
      <c r="F29" s="18" t="s">
        <v>22</v>
      </c>
      <c r="G29" s="19">
        <v>886</v>
      </c>
      <c r="H29" s="20" t="s">
        <v>43</v>
      </c>
      <c r="I29" s="21">
        <v>1</v>
      </c>
      <c r="J29" s="45" t="s">
        <v>44</v>
      </c>
      <c r="K29" s="93">
        <v>4</v>
      </c>
      <c r="L29" s="18" t="s">
        <v>47</v>
      </c>
      <c r="M29" s="46">
        <v>8</v>
      </c>
      <c r="N29" s="18" t="s">
        <v>65</v>
      </c>
      <c r="O29" s="19"/>
      <c r="P29" s="19" t="s">
        <v>26</v>
      </c>
      <c r="Q29" s="19"/>
      <c r="R29" s="20" t="s">
        <v>89</v>
      </c>
      <c r="S29" s="58">
        <v>1</v>
      </c>
      <c r="T29" s="73"/>
      <c r="U29" s="22"/>
      <c r="V29" s="22"/>
    </row>
    <row r="30" spans="1:22" s="33" customFormat="1" ht="153" customHeight="1" hidden="1" outlineLevel="2">
      <c r="A30" s="17">
        <v>7</v>
      </c>
      <c r="B30" s="18" t="s">
        <v>41</v>
      </c>
      <c r="C30" s="17">
        <v>3</v>
      </c>
      <c r="D30" s="18" t="s">
        <v>102</v>
      </c>
      <c r="E30" s="19">
        <v>30</v>
      </c>
      <c r="F30" s="18" t="s">
        <v>22</v>
      </c>
      <c r="G30" s="19">
        <v>886</v>
      </c>
      <c r="H30" s="20" t="s">
        <v>43</v>
      </c>
      <c r="I30" s="21">
        <v>1</v>
      </c>
      <c r="J30" s="45" t="s">
        <v>44</v>
      </c>
      <c r="K30" s="93">
        <v>4</v>
      </c>
      <c r="L30" s="18" t="s">
        <v>47</v>
      </c>
      <c r="M30" s="46">
        <v>9</v>
      </c>
      <c r="N30" s="18" t="s">
        <v>66</v>
      </c>
      <c r="O30" s="19"/>
      <c r="P30" s="19" t="s">
        <v>26</v>
      </c>
      <c r="Q30" s="19"/>
      <c r="R30" s="20" t="s">
        <v>90</v>
      </c>
      <c r="S30" s="58">
        <v>128</v>
      </c>
      <c r="T30" s="73"/>
      <c r="U30" s="22"/>
      <c r="V30" s="22"/>
    </row>
    <row r="31" spans="1:22" s="33" customFormat="1" ht="153" customHeight="1" hidden="1" outlineLevel="2">
      <c r="A31" s="17">
        <v>7</v>
      </c>
      <c r="B31" s="18" t="s">
        <v>41</v>
      </c>
      <c r="C31" s="17">
        <v>3</v>
      </c>
      <c r="D31" s="18" t="s">
        <v>102</v>
      </c>
      <c r="E31" s="19">
        <v>30</v>
      </c>
      <c r="F31" s="18" t="s">
        <v>22</v>
      </c>
      <c r="G31" s="19">
        <v>886</v>
      </c>
      <c r="H31" s="20" t="s">
        <v>43</v>
      </c>
      <c r="I31" s="21">
        <v>1</v>
      </c>
      <c r="J31" s="45" t="s">
        <v>44</v>
      </c>
      <c r="K31" s="93">
        <v>4</v>
      </c>
      <c r="L31" s="18" t="s">
        <v>47</v>
      </c>
      <c r="M31" s="46">
        <v>10</v>
      </c>
      <c r="N31" s="18" t="s">
        <v>67</v>
      </c>
      <c r="O31" s="19"/>
      <c r="P31" s="19" t="s">
        <v>26</v>
      </c>
      <c r="Q31" s="19"/>
      <c r="R31" s="20" t="s">
        <v>91</v>
      </c>
      <c r="S31" s="58">
        <v>12</v>
      </c>
      <c r="T31" s="73"/>
      <c r="U31" s="22"/>
      <c r="V31" s="22"/>
    </row>
    <row r="32" spans="1:22" s="30" customFormat="1" ht="153" customHeight="1" outlineLevel="2" thickBot="1">
      <c r="A32" s="85">
        <v>7</v>
      </c>
      <c r="B32" s="86" t="s">
        <v>41</v>
      </c>
      <c r="C32" s="85">
        <v>3</v>
      </c>
      <c r="D32" s="86" t="s">
        <v>102</v>
      </c>
      <c r="E32" s="80">
        <v>30</v>
      </c>
      <c r="F32" s="86" t="s">
        <v>22</v>
      </c>
      <c r="G32" s="80">
        <v>886</v>
      </c>
      <c r="H32" s="87" t="s">
        <v>43</v>
      </c>
      <c r="I32" s="88">
        <v>1</v>
      </c>
      <c r="J32" s="89" t="s">
        <v>44</v>
      </c>
      <c r="K32" s="95">
        <v>4</v>
      </c>
      <c r="L32" s="86" t="s">
        <v>47</v>
      </c>
      <c r="M32" s="85">
        <v>1</v>
      </c>
      <c r="N32" s="86" t="s">
        <v>118</v>
      </c>
      <c r="O32" s="80"/>
      <c r="P32" s="80"/>
      <c r="Q32" s="80" t="s">
        <v>26</v>
      </c>
      <c r="R32" s="87" t="s">
        <v>123</v>
      </c>
      <c r="S32" s="80">
        <v>100</v>
      </c>
      <c r="T32" s="69">
        <v>100</v>
      </c>
      <c r="U32" s="22" t="s">
        <v>149</v>
      </c>
      <c r="V32" s="12"/>
    </row>
    <row r="33" spans="1:22" s="30" customFormat="1" ht="153" customHeight="1" outlineLevel="2" thickBot="1">
      <c r="A33" s="85">
        <v>7</v>
      </c>
      <c r="B33" s="86" t="s">
        <v>41</v>
      </c>
      <c r="C33" s="85">
        <v>3</v>
      </c>
      <c r="D33" s="86" t="s">
        <v>102</v>
      </c>
      <c r="E33" s="80">
        <v>30</v>
      </c>
      <c r="F33" s="86" t="s">
        <v>22</v>
      </c>
      <c r="G33" s="80">
        <v>886</v>
      </c>
      <c r="H33" s="87" t="s">
        <v>43</v>
      </c>
      <c r="I33" s="88">
        <v>1</v>
      </c>
      <c r="J33" s="89" t="s">
        <v>44</v>
      </c>
      <c r="K33" s="95">
        <v>4</v>
      </c>
      <c r="L33" s="86" t="s">
        <v>47</v>
      </c>
      <c r="M33" s="85">
        <v>2</v>
      </c>
      <c r="N33" s="86" t="s">
        <v>119</v>
      </c>
      <c r="O33" s="80"/>
      <c r="P33" s="80"/>
      <c r="Q33" s="80" t="s">
        <v>26</v>
      </c>
      <c r="R33" s="87" t="s">
        <v>124</v>
      </c>
      <c r="S33" s="80">
        <v>4</v>
      </c>
      <c r="T33" s="69" t="s">
        <v>147</v>
      </c>
      <c r="U33" s="143" t="s">
        <v>150</v>
      </c>
      <c r="V33" s="12"/>
    </row>
    <row r="34" spans="1:22" s="30" customFormat="1" ht="153" customHeight="1" outlineLevel="2">
      <c r="A34" s="85">
        <v>7</v>
      </c>
      <c r="B34" s="86" t="s">
        <v>41</v>
      </c>
      <c r="C34" s="85">
        <v>3</v>
      </c>
      <c r="D34" s="86" t="s">
        <v>102</v>
      </c>
      <c r="E34" s="80">
        <v>30</v>
      </c>
      <c r="F34" s="86" t="s">
        <v>22</v>
      </c>
      <c r="G34" s="80">
        <v>886</v>
      </c>
      <c r="H34" s="87" t="s">
        <v>43</v>
      </c>
      <c r="I34" s="88">
        <v>1</v>
      </c>
      <c r="J34" s="89" t="s">
        <v>44</v>
      </c>
      <c r="K34" s="95">
        <v>4</v>
      </c>
      <c r="L34" s="86" t="s">
        <v>47</v>
      </c>
      <c r="M34" s="85">
        <v>5</v>
      </c>
      <c r="N34" s="86" t="s">
        <v>120</v>
      </c>
      <c r="O34" s="80"/>
      <c r="P34" s="80"/>
      <c r="Q34" s="80" t="s">
        <v>26</v>
      </c>
      <c r="R34" s="87" t="s">
        <v>125</v>
      </c>
      <c r="S34" s="80">
        <v>12</v>
      </c>
      <c r="T34" s="69">
        <v>7</v>
      </c>
      <c r="U34" s="22" t="s">
        <v>146</v>
      </c>
      <c r="V34" s="12"/>
    </row>
    <row r="35" spans="1:22" s="30" customFormat="1" ht="153" customHeight="1" outlineLevel="2">
      <c r="A35" s="85">
        <v>7</v>
      </c>
      <c r="B35" s="86" t="s">
        <v>41</v>
      </c>
      <c r="C35" s="85">
        <v>3</v>
      </c>
      <c r="D35" s="86" t="s">
        <v>102</v>
      </c>
      <c r="E35" s="80">
        <v>30</v>
      </c>
      <c r="F35" s="86" t="s">
        <v>22</v>
      </c>
      <c r="G35" s="80">
        <v>886</v>
      </c>
      <c r="H35" s="87" t="s">
        <v>43</v>
      </c>
      <c r="I35" s="88">
        <v>1</v>
      </c>
      <c r="J35" s="89" t="s">
        <v>44</v>
      </c>
      <c r="K35" s="95">
        <v>4</v>
      </c>
      <c r="L35" s="86" t="s">
        <v>47</v>
      </c>
      <c r="M35" s="85">
        <v>6</v>
      </c>
      <c r="N35" s="86" t="s">
        <v>68</v>
      </c>
      <c r="O35" s="80"/>
      <c r="P35" s="80"/>
      <c r="Q35" s="80" t="s">
        <v>26</v>
      </c>
      <c r="R35" s="87" t="s">
        <v>126</v>
      </c>
      <c r="S35" s="80">
        <v>100</v>
      </c>
      <c r="T35" s="136">
        <v>100</v>
      </c>
      <c r="U35" s="22" t="s">
        <v>151</v>
      </c>
      <c r="V35" s="12"/>
    </row>
    <row r="36" spans="1:22" s="30" customFormat="1" ht="153" customHeight="1" outlineLevel="2">
      <c r="A36" s="85">
        <v>7</v>
      </c>
      <c r="B36" s="86" t="s">
        <v>41</v>
      </c>
      <c r="C36" s="85">
        <v>3</v>
      </c>
      <c r="D36" s="86" t="s">
        <v>102</v>
      </c>
      <c r="E36" s="80">
        <v>30</v>
      </c>
      <c r="F36" s="86" t="s">
        <v>22</v>
      </c>
      <c r="G36" s="80">
        <v>886</v>
      </c>
      <c r="H36" s="87" t="s">
        <v>43</v>
      </c>
      <c r="I36" s="88">
        <v>1</v>
      </c>
      <c r="J36" s="89" t="s">
        <v>44</v>
      </c>
      <c r="K36" s="95">
        <v>4</v>
      </c>
      <c r="L36" s="86" t="s">
        <v>47</v>
      </c>
      <c r="M36" s="85">
        <v>7</v>
      </c>
      <c r="N36" s="86" t="s">
        <v>69</v>
      </c>
      <c r="O36" s="80"/>
      <c r="P36" s="80"/>
      <c r="Q36" s="80" t="s">
        <v>37</v>
      </c>
      <c r="R36" s="87" t="s">
        <v>127</v>
      </c>
      <c r="S36" s="80">
        <v>100</v>
      </c>
      <c r="T36" s="136">
        <v>100</v>
      </c>
      <c r="U36" s="22" t="s">
        <v>152</v>
      </c>
      <c r="V36" s="12"/>
    </row>
    <row r="37" spans="1:22" s="30" customFormat="1" ht="153" customHeight="1" outlineLevel="2">
      <c r="A37" s="85">
        <v>7</v>
      </c>
      <c r="B37" s="86" t="s">
        <v>41</v>
      </c>
      <c r="C37" s="85">
        <v>3</v>
      </c>
      <c r="D37" s="86" t="s">
        <v>102</v>
      </c>
      <c r="E37" s="80">
        <v>30</v>
      </c>
      <c r="F37" s="86" t="s">
        <v>22</v>
      </c>
      <c r="G37" s="80">
        <v>886</v>
      </c>
      <c r="H37" s="87" t="s">
        <v>43</v>
      </c>
      <c r="I37" s="88">
        <v>1</v>
      </c>
      <c r="J37" s="89" t="s">
        <v>44</v>
      </c>
      <c r="K37" s="95">
        <v>4</v>
      </c>
      <c r="L37" s="86" t="s">
        <v>47</v>
      </c>
      <c r="M37" s="85">
        <v>8</v>
      </c>
      <c r="N37" s="86" t="s">
        <v>70</v>
      </c>
      <c r="O37" s="80"/>
      <c r="P37" s="80"/>
      <c r="Q37" s="80" t="s">
        <v>37</v>
      </c>
      <c r="R37" s="87" t="s">
        <v>92</v>
      </c>
      <c r="S37" s="80">
        <v>100</v>
      </c>
      <c r="T37" s="136">
        <v>100</v>
      </c>
      <c r="U37" s="135" t="s">
        <v>153</v>
      </c>
      <c r="V37" s="12"/>
    </row>
    <row r="38" spans="1:22" s="30" customFormat="1" ht="153" customHeight="1" outlineLevel="2">
      <c r="A38" s="85">
        <v>7</v>
      </c>
      <c r="B38" s="86" t="s">
        <v>41</v>
      </c>
      <c r="C38" s="85">
        <v>3</v>
      </c>
      <c r="D38" s="86" t="s">
        <v>102</v>
      </c>
      <c r="E38" s="80">
        <v>30</v>
      </c>
      <c r="F38" s="86" t="s">
        <v>22</v>
      </c>
      <c r="G38" s="80">
        <v>886</v>
      </c>
      <c r="H38" s="87" t="s">
        <v>43</v>
      </c>
      <c r="I38" s="88">
        <v>1</v>
      </c>
      <c r="J38" s="89" t="s">
        <v>44</v>
      </c>
      <c r="K38" s="95">
        <v>4</v>
      </c>
      <c r="L38" s="86" t="s">
        <v>47</v>
      </c>
      <c r="M38" s="85">
        <v>9</v>
      </c>
      <c r="N38" s="86" t="s">
        <v>71</v>
      </c>
      <c r="O38" s="80"/>
      <c r="P38" s="80"/>
      <c r="Q38" s="80" t="s">
        <v>37</v>
      </c>
      <c r="R38" s="87" t="s">
        <v>93</v>
      </c>
      <c r="S38" s="80">
        <v>100</v>
      </c>
      <c r="T38" s="136">
        <v>100</v>
      </c>
      <c r="U38" s="135" t="s">
        <v>144</v>
      </c>
      <c r="V38" s="146" t="s">
        <v>145</v>
      </c>
    </row>
    <row r="39" spans="1:22" s="30" customFormat="1" ht="153" customHeight="1" outlineLevel="2">
      <c r="A39" s="85">
        <v>7</v>
      </c>
      <c r="B39" s="86" t="s">
        <v>41</v>
      </c>
      <c r="C39" s="85">
        <v>3</v>
      </c>
      <c r="D39" s="86" t="s">
        <v>102</v>
      </c>
      <c r="E39" s="80">
        <v>30</v>
      </c>
      <c r="F39" s="86" t="s">
        <v>22</v>
      </c>
      <c r="G39" s="80">
        <v>886</v>
      </c>
      <c r="H39" s="87" t="s">
        <v>43</v>
      </c>
      <c r="I39" s="88">
        <v>1</v>
      </c>
      <c r="J39" s="89" t="s">
        <v>44</v>
      </c>
      <c r="K39" s="95">
        <v>4</v>
      </c>
      <c r="L39" s="86" t="s">
        <v>47</v>
      </c>
      <c r="M39" s="85">
        <v>1</v>
      </c>
      <c r="N39" s="86" t="s">
        <v>72</v>
      </c>
      <c r="O39" s="80"/>
      <c r="P39" s="80"/>
      <c r="Q39" s="80" t="s">
        <v>37</v>
      </c>
      <c r="R39" s="87" t="s">
        <v>94</v>
      </c>
      <c r="S39" s="80">
        <v>100</v>
      </c>
      <c r="T39" s="137">
        <v>0.61</v>
      </c>
      <c r="U39" s="144" t="s">
        <v>154</v>
      </c>
      <c r="V39" s="147" t="s">
        <v>155</v>
      </c>
    </row>
    <row r="40" spans="1:22" s="30" customFormat="1" ht="153" customHeight="1" outlineLevel="2">
      <c r="A40" s="85">
        <v>7</v>
      </c>
      <c r="B40" s="86" t="s">
        <v>41</v>
      </c>
      <c r="C40" s="85">
        <v>3</v>
      </c>
      <c r="D40" s="86" t="s">
        <v>102</v>
      </c>
      <c r="E40" s="80">
        <v>30</v>
      </c>
      <c r="F40" s="86" t="s">
        <v>22</v>
      </c>
      <c r="G40" s="80">
        <v>886</v>
      </c>
      <c r="H40" s="87" t="s">
        <v>43</v>
      </c>
      <c r="I40" s="88">
        <v>1</v>
      </c>
      <c r="J40" s="89" t="s">
        <v>44</v>
      </c>
      <c r="K40" s="95">
        <v>4</v>
      </c>
      <c r="L40" s="86" t="s">
        <v>47</v>
      </c>
      <c r="M40" s="85">
        <v>2</v>
      </c>
      <c r="N40" s="86" t="s">
        <v>121</v>
      </c>
      <c r="O40" s="80"/>
      <c r="P40" s="80"/>
      <c r="Q40" s="80" t="s">
        <v>37</v>
      </c>
      <c r="R40" s="87" t="s">
        <v>95</v>
      </c>
      <c r="S40" s="80">
        <v>9</v>
      </c>
      <c r="T40" s="136">
        <v>4</v>
      </c>
      <c r="U40" s="144" t="s">
        <v>148</v>
      </c>
      <c r="V40" s="148"/>
    </row>
    <row r="41" spans="1:22" s="30" customFormat="1" ht="153" customHeight="1" outlineLevel="2">
      <c r="A41" s="85">
        <v>7</v>
      </c>
      <c r="B41" s="86" t="s">
        <v>41</v>
      </c>
      <c r="C41" s="85">
        <v>3</v>
      </c>
      <c r="D41" s="86" t="s">
        <v>102</v>
      </c>
      <c r="E41" s="80">
        <v>30</v>
      </c>
      <c r="F41" s="86" t="s">
        <v>22</v>
      </c>
      <c r="G41" s="80">
        <v>886</v>
      </c>
      <c r="H41" s="87" t="s">
        <v>43</v>
      </c>
      <c r="I41" s="88">
        <v>1</v>
      </c>
      <c r="J41" s="89" t="s">
        <v>44</v>
      </c>
      <c r="K41" s="95">
        <v>4</v>
      </c>
      <c r="L41" s="86" t="s">
        <v>47</v>
      </c>
      <c r="M41" s="85">
        <v>3</v>
      </c>
      <c r="N41" s="86" t="s">
        <v>122</v>
      </c>
      <c r="O41" s="80"/>
      <c r="P41" s="80"/>
      <c r="Q41" s="80" t="s">
        <v>37</v>
      </c>
      <c r="R41" s="87" t="s">
        <v>96</v>
      </c>
      <c r="S41" s="80">
        <v>120</v>
      </c>
      <c r="T41" s="150">
        <v>103</v>
      </c>
      <c r="U41" s="147" t="s">
        <v>156</v>
      </c>
      <c r="V41" s="148"/>
    </row>
    <row r="42" spans="1:22" s="30" customFormat="1" ht="153" customHeight="1" outlineLevel="2">
      <c r="A42" s="88">
        <v>7</v>
      </c>
      <c r="B42" s="90" t="s">
        <v>41</v>
      </c>
      <c r="C42" s="88">
        <v>3</v>
      </c>
      <c r="D42" s="90" t="s">
        <v>102</v>
      </c>
      <c r="E42" s="91">
        <v>30</v>
      </c>
      <c r="F42" s="90" t="s">
        <v>22</v>
      </c>
      <c r="G42" s="91">
        <v>886</v>
      </c>
      <c r="H42" s="92" t="s">
        <v>43</v>
      </c>
      <c r="I42" s="88">
        <v>1</v>
      </c>
      <c r="J42" s="89" t="s">
        <v>44</v>
      </c>
      <c r="K42" s="96">
        <v>4</v>
      </c>
      <c r="L42" s="86" t="s">
        <v>47</v>
      </c>
      <c r="M42" s="85">
        <v>4</v>
      </c>
      <c r="N42" s="86" t="s">
        <v>73</v>
      </c>
      <c r="O42" s="80"/>
      <c r="P42" s="80"/>
      <c r="Q42" s="80" t="s">
        <v>37</v>
      </c>
      <c r="R42" s="87" t="s">
        <v>97</v>
      </c>
      <c r="S42" s="80">
        <v>3</v>
      </c>
      <c r="T42" s="137" t="s">
        <v>141</v>
      </c>
      <c r="U42" s="145" t="s">
        <v>157</v>
      </c>
      <c r="V42" s="149" t="s">
        <v>158</v>
      </c>
    </row>
    <row r="43" spans="1:22" s="33" customFormat="1" ht="153" customHeight="1" hidden="1" outlineLevel="2">
      <c r="A43" s="64">
        <v>2</v>
      </c>
      <c r="B43" s="61" t="s">
        <v>103</v>
      </c>
      <c r="C43" s="64">
        <v>2</v>
      </c>
      <c r="D43" s="61" t="s">
        <v>104</v>
      </c>
      <c r="E43" s="64">
        <v>4</v>
      </c>
      <c r="F43" s="61" t="s">
        <v>105</v>
      </c>
      <c r="G43" s="64">
        <v>879</v>
      </c>
      <c r="H43" s="61" t="s">
        <v>106</v>
      </c>
      <c r="I43" s="62">
        <v>1</v>
      </c>
      <c r="J43" s="60" t="s">
        <v>107</v>
      </c>
      <c r="K43" s="97" t="s">
        <v>108</v>
      </c>
      <c r="L43" s="61" t="s">
        <v>109</v>
      </c>
      <c r="M43" s="63" t="s">
        <v>108</v>
      </c>
      <c r="N43" s="61" t="s">
        <v>129</v>
      </c>
      <c r="O43" s="60"/>
      <c r="P43" s="64" t="s">
        <v>37</v>
      </c>
      <c r="Q43" s="60"/>
      <c r="R43" s="61" t="s">
        <v>132</v>
      </c>
      <c r="S43" s="65">
        <v>0.45</v>
      </c>
      <c r="T43" s="71"/>
      <c r="U43" s="22"/>
      <c r="V43" s="22"/>
    </row>
    <row r="44" spans="1:22" s="33" customFormat="1" ht="153" customHeight="1" hidden="1" outlineLevel="2">
      <c r="A44" s="64">
        <v>2</v>
      </c>
      <c r="B44" s="61" t="s">
        <v>103</v>
      </c>
      <c r="C44" s="64">
        <v>2</v>
      </c>
      <c r="D44" s="61" t="s">
        <v>104</v>
      </c>
      <c r="E44" s="64">
        <v>4</v>
      </c>
      <c r="F44" s="61" t="s">
        <v>105</v>
      </c>
      <c r="G44" s="64">
        <v>879</v>
      </c>
      <c r="H44" s="61" t="s">
        <v>106</v>
      </c>
      <c r="I44" s="62">
        <v>1</v>
      </c>
      <c r="J44" s="60" t="s">
        <v>107</v>
      </c>
      <c r="K44" s="97" t="s">
        <v>110</v>
      </c>
      <c r="L44" s="61" t="s">
        <v>111</v>
      </c>
      <c r="M44" s="63" t="s">
        <v>110</v>
      </c>
      <c r="N44" s="61" t="s">
        <v>130</v>
      </c>
      <c r="O44" s="60"/>
      <c r="P44" s="64" t="s">
        <v>37</v>
      </c>
      <c r="Q44" s="60"/>
      <c r="R44" s="61" t="s">
        <v>114</v>
      </c>
      <c r="S44" s="65">
        <v>0.45</v>
      </c>
      <c r="T44" s="71"/>
      <c r="U44" s="22"/>
      <c r="V44" s="22"/>
    </row>
    <row r="45" spans="1:22" s="33" customFormat="1" ht="153" customHeight="1" hidden="1" outlineLevel="2">
      <c r="A45" s="64">
        <v>2</v>
      </c>
      <c r="B45" s="61" t="s">
        <v>103</v>
      </c>
      <c r="C45" s="64">
        <v>2</v>
      </c>
      <c r="D45" s="61" t="s">
        <v>104</v>
      </c>
      <c r="E45" s="64">
        <v>4</v>
      </c>
      <c r="F45" s="61" t="s">
        <v>105</v>
      </c>
      <c r="G45" s="64">
        <v>879</v>
      </c>
      <c r="H45" s="61" t="s">
        <v>106</v>
      </c>
      <c r="I45" s="62">
        <v>1</v>
      </c>
      <c r="J45" s="60" t="s">
        <v>107</v>
      </c>
      <c r="K45" s="97" t="s">
        <v>112</v>
      </c>
      <c r="L45" s="61" t="s">
        <v>113</v>
      </c>
      <c r="M45" s="63" t="s">
        <v>112</v>
      </c>
      <c r="N45" s="61" t="s">
        <v>131</v>
      </c>
      <c r="O45" s="60"/>
      <c r="P45" s="64" t="s">
        <v>37</v>
      </c>
      <c r="Q45" s="60"/>
      <c r="R45" s="61" t="s">
        <v>133</v>
      </c>
      <c r="S45" s="65">
        <v>0.45</v>
      </c>
      <c r="T45" s="71"/>
      <c r="U45" s="22"/>
      <c r="V45" s="22"/>
    </row>
    <row r="46" spans="1:22" s="113" customFormat="1" ht="15" customHeight="1" collapsed="1">
      <c r="A46" s="101"/>
      <c r="B46" s="102"/>
      <c r="C46" s="101"/>
      <c r="D46" s="103"/>
      <c r="E46" s="104"/>
      <c r="F46" s="105"/>
      <c r="G46" s="104"/>
      <c r="H46" s="105"/>
      <c r="I46" s="104"/>
      <c r="J46" s="105"/>
      <c r="K46" s="104"/>
      <c r="L46" s="106"/>
      <c r="M46" s="104"/>
      <c r="N46" s="107"/>
      <c r="O46" s="108"/>
      <c r="P46" s="109"/>
      <c r="Q46" s="110"/>
      <c r="R46" s="107"/>
      <c r="S46" s="111"/>
      <c r="T46" s="139"/>
      <c r="U46" s="112"/>
      <c r="V46" s="112"/>
    </row>
    <row r="47" spans="1:22" s="117" customFormat="1" ht="120.75" customHeight="1">
      <c r="A47" s="98">
        <v>8</v>
      </c>
      <c r="B47" s="99" t="s">
        <v>31</v>
      </c>
      <c r="C47" s="98">
        <v>8</v>
      </c>
      <c r="D47" s="99" t="s">
        <v>134</v>
      </c>
      <c r="E47" s="100">
        <v>3</v>
      </c>
      <c r="F47" s="99" t="s">
        <v>32</v>
      </c>
      <c r="G47" s="98">
        <v>886</v>
      </c>
      <c r="H47" s="99" t="s">
        <v>43</v>
      </c>
      <c r="I47" s="98">
        <v>7</v>
      </c>
      <c r="J47" s="99" t="s">
        <v>135</v>
      </c>
      <c r="K47" s="98">
        <v>4</v>
      </c>
      <c r="L47" s="99" t="s">
        <v>33</v>
      </c>
      <c r="M47" s="114">
        <v>1</v>
      </c>
      <c r="N47" s="99" t="s">
        <v>137</v>
      </c>
      <c r="O47" s="98"/>
      <c r="P47" s="98"/>
      <c r="Q47" s="98" t="s">
        <v>37</v>
      </c>
      <c r="R47" s="99" t="s">
        <v>138</v>
      </c>
      <c r="S47" s="115">
        <v>100</v>
      </c>
      <c r="T47" s="140">
        <v>1</v>
      </c>
      <c r="U47" s="12"/>
      <c r="V47" s="116" t="s">
        <v>136</v>
      </c>
    </row>
    <row r="48" spans="1:22" s="113" customFormat="1" ht="15" customHeight="1">
      <c r="A48" s="101"/>
      <c r="B48" s="102"/>
      <c r="C48" s="101"/>
      <c r="D48" s="103"/>
      <c r="E48" s="104"/>
      <c r="F48" s="105"/>
      <c r="G48" s="104"/>
      <c r="H48" s="105"/>
      <c r="I48" s="104"/>
      <c r="J48" s="105"/>
      <c r="K48" s="104"/>
      <c r="L48" s="106"/>
      <c r="M48" s="104"/>
      <c r="N48" s="107"/>
      <c r="O48" s="108"/>
      <c r="P48" s="109"/>
      <c r="Q48" s="110"/>
      <c r="R48" s="107"/>
      <c r="S48" s="111"/>
      <c r="T48" s="141"/>
      <c r="U48" s="142"/>
      <c r="V48" s="112"/>
    </row>
    <row r="49" spans="1:22" s="120" customFormat="1" ht="114.75" customHeight="1">
      <c r="A49" s="118">
        <v>8</v>
      </c>
      <c r="B49" s="119" t="s">
        <v>31</v>
      </c>
      <c r="C49" s="118">
        <v>8</v>
      </c>
      <c r="D49" s="119" t="s">
        <v>134</v>
      </c>
      <c r="E49" s="118">
        <v>3</v>
      </c>
      <c r="F49" s="119" t="s">
        <v>32</v>
      </c>
      <c r="G49" s="118">
        <v>886</v>
      </c>
      <c r="H49" s="119" t="s">
        <v>43</v>
      </c>
      <c r="I49" s="118">
        <v>7</v>
      </c>
      <c r="J49" s="119" t="s">
        <v>135</v>
      </c>
      <c r="K49" s="118">
        <v>5</v>
      </c>
      <c r="L49" s="119" t="s">
        <v>34</v>
      </c>
      <c r="M49" s="118">
        <v>1</v>
      </c>
      <c r="N49" s="119" t="s">
        <v>139</v>
      </c>
      <c r="O49" s="119"/>
      <c r="P49" s="119"/>
      <c r="Q49" s="118" t="s">
        <v>37</v>
      </c>
      <c r="R49" s="99" t="s">
        <v>140</v>
      </c>
      <c r="S49" s="115">
        <v>100</v>
      </c>
      <c r="T49" s="140">
        <v>1</v>
      </c>
      <c r="U49" s="12"/>
      <c r="V49" s="116" t="s">
        <v>136</v>
      </c>
    </row>
    <row r="50" spans="1:22" s="113" customFormat="1" ht="15" customHeight="1">
      <c r="A50" s="121"/>
      <c r="B50" s="122"/>
      <c r="C50" s="121"/>
      <c r="D50" s="123"/>
      <c r="E50" s="124"/>
      <c r="F50" s="125"/>
      <c r="G50" s="124"/>
      <c r="H50" s="125"/>
      <c r="I50" s="124"/>
      <c r="J50" s="125"/>
      <c r="K50" s="124"/>
      <c r="L50" s="126"/>
      <c r="M50" s="124"/>
      <c r="N50" s="127"/>
      <c r="O50" s="128"/>
      <c r="P50" s="129"/>
      <c r="Q50" s="130"/>
      <c r="R50" s="127"/>
      <c r="S50" s="131"/>
      <c r="T50" s="132"/>
      <c r="U50" s="133"/>
      <c r="V50" s="133"/>
    </row>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sheetData>
  <sheetProtection password="C244" sheet="1" selectLockedCells="1" selectUnlockedCells="1"/>
  <autoFilter ref="A3:V7"/>
  <mergeCells count="13">
    <mergeCell ref="G2:H2"/>
    <mergeCell ref="K2:L2"/>
    <mergeCell ref="A9:C9"/>
    <mergeCell ref="M2:N2"/>
    <mergeCell ref="A2:B2"/>
    <mergeCell ref="C2:D2"/>
    <mergeCell ref="E2:F2"/>
    <mergeCell ref="U2:U3"/>
    <mergeCell ref="V2:V3"/>
    <mergeCell ref="I2:J2"/>
    <mergeCell ref="R2:R3"/>
    <mergeCell ref="S2:T2"/>
    <mergeCell ref="O2:Q2"/>
  </mergeCells>
  <dataValidations count="4">
    <dataValidation type="list" allowBlank="1" showInputMessage="1" showErrorMessage="1" sqref="G43:G45">
      <formula1>'Actividades gestión'!#REF!</formula1>
    </dataValidation>
    <dataValidation type="list" allowBlank="1" showInputMessage="1" showErrorMessage="1" sqref="D43:D45">
      <formula1>$BF$5:$BF$5</formula1>
    </dataValidation>
    <dataValidation type="list" allowBlank="1" showInputMessage="1" showErrorMessage="1" sqref="C43:C45">
      <formula1>$BE$5:$BE$5</formula1>
    </dataValidation>
    <dataValidation type="list" allowBlank="1" showInputMessage="1" showErrorMessage="1" sqref="N43:N45 R43:R45">
      <formula1>$BK$9:$BK$33</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2015-10-15T21:06:55Z</dcterms:modified>
  <cp:category/>
  <cp:version/>
  <cp:contentType/>
  <cp:contentStatus/>
</cp:coreProperties>
</file>