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904" activeTab="7"/>
  </bookViews>
  <sheets>
    <sheet name="Metas inversión 872" sheetId="1" r:id="rId1"/>
    <sheet name="Actividades inversión 872" sheetId="2" r:id="rId2"/>
    <sheet name="Metas inversión 886" sheetId="3" r:id="rId3"/>
    <sheet name="Actividades inversión 886" sheetId="4" r:id="rId4"/>
    <sheet name="Metas inversión 879" sheetId="5" r:id="rId5"/>
    <sheet name="Actividades inversión 879" sheetId="6" r:id="rId6"/>
    <sheet name="Metas gestión" sheetId="7" r:id="rId7"/>
    <sheet name="Actividades gestión"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7" hidden="1">'Actividades gestión'!$A$3:$V$7</definedName>
    <definedName name="_xlnm._FilterDatabase" localSheetId="1" hidden="1">'Actividades inversión 872'!$A$14:$AU$17</definedName>
    <definedName name="_xlnm._FilterDatabase" localSheetId="5" hidden="1">'Actividades inversión 879'!$A$12:$AR$18</definedName>
    <definedName name="_xlnm._FilterDatabase" localSheetId="0" hidden="1">'Metas inversión 872'!$A$18:$AA$39</definedName>
    <definedName name="_xlnm._FilterDatabase" localSheetId="4" hidden="1">'Metas inversión 879'!$A$15:$AA$63</definedName>
    <definedName name="_xlnm._FilterDatabase" localSheetId="2" hidden="1">'Metas inversión 886'!$A$15:$AA$127</definedName>
    <definedName name="_xlnm.Print_Area" localSheetId="1">'Actividades inversión 872'!$A$1:$AV$18</definedName>
    <definedName name="_xlnm.Print_Area" localSheetId="6">'Metas gestión'!#REF!</definedName>
    <definedName name="_xlnm.Print_Area" localSheetId="0">'Metas inversión 872'!$E$1:$AR$40</definedName>
    <definedName name="_xlnm.Print_Area" localSheetId="4">'Metas inversión 879'!#REF!</definedName>
    <definedName name="_xlnm.Print_Area" localSheetId="2">'Metas inversión 886'!#REF!</definedName>
    <definedName name="OLE_LINK1" localSheetId="0">'Metas inversión 872'!$X$19</definedName>
  </definedNames>
  <calcPr fullCalcOnLoad="1"/>
</workbook>
</file>

<file path=xl/comments1.xml><?xml version="1.0" encoding="utf-8"?>
<comments xmlns="http://schemas.openxmlformats.org/spreadsheetml/2006/main">
  <authors>
    <author>sjgomez</author>
  </authors>
  <commentList>
    <comment ref="O19" authorId="0">
      <text>
        <r>
          <rPr>
            <b/>
            <sz val="9"/>
            <rFont val="Tahoma"/>
            <family val="2"/>
          </rPr>
          <t>sjgomez:</t>
        </r>
        <r>
          <rPr>
            <sz val="9"/>
            <rFont val="Tahoma"/>
            <family val="2"/>
          </rPr>
          <t xml:space="preserve">
meta de suma</t>
        </r>
      </text>
    </comment>
  </commentList>
</comments>
</file>

<file path=xl/comments3.xml><?xml version="1.0" encoding="utf-8"?>
<comments xmlns="http://schemas.openxmlformats.org/spreadsheetml/2006/main">
  <authors>
    <author>sjgomez</author>
    <author>mmmadrid</author>
  </authors>
  <commentList>
    <comment ref="O16" authorId="0">
      <text>
        <r>
          <rPr>
            <b/>
            <sz val="9"/>
            <rFont val="Tahoma"/>
            <family val="2"/>
          </rPr>
          <t>sjgomez:</t>
        </r>
        <r>
          <rPr>
            <sz val="9"/>
            <rFont val="Tahoma"/>
            <family val="2"/>
          </rPr>
          <t xml:space="preserve">
meta de suma
</t>
        </r>
      </text>
    </comment>
    <comment ref="O32" authorId="0">
      <text>
        <r>
          <rPr>
            <b/>
            <sz val="9"/>
            <rFont val="Tahoma"/>
            <family val="2"/>
          </rPr>
          <t>sjgomez:</t>
        </r>
        <r>
          <rPr>
            <sz val="9"/>
            <rFont val="Tahoma"/>
            <family val="2"/>
          </rPr>
          <t xml:space="preserve">
meta constante</t>
        </r>
      </text>
    </comment>
    <comment ref="O48" authorId="0">
      <text>
        <r>
          <rPr>
            <b/>
            <sz val="9"/>
            <rFont val="Tahoma"/>
            <family val="2"/>
          </rPr>
          <t>sjgomez:</t>
        </r>
        <r>
          <rPr>
            <sz val="9"/>
            <rFont val="Tahoma"/>
            <family val="2"/>
          </rPr>
          <t xml:space="preserve">
meta constante</t>
        </r>
      </text>
    </comment>
    <comment ref="O64" authorId="0">
      <text>
        <r>
          <rPr>
            <b/>
            <sz val="9"/>
            <rFont val="Tahoma"/>
            <family val="2"/>
          </rPr>
          <t>sjgomez:</t>
        </r>
        <r>
          <rPr>
            <sz val="9"/>
            <rFont val="Tahoma"/>
            <family val="2"/>
          </rPr>
          <t xml:space="preserve">
meta de suma</t>
        </r>
      </text>
    </comment>
    <comment ref="P64" authorId="1">
      <text>
        <r>
          <rPr>
            <b/>
            <sz val="9"/>
            <rFont val="Tahoma"/>
            <family val="2"/>
          </rPr>
          <t>mmmadrid:</t>
        </r>
        <r>
          <rPr>
            <sz val="9"/>
            <rFont val="Tahoma"/>
            <family val="2"/>
          </rPr>
          <t xml:space="preserve">
PLANES DE LARGO PLAZO: Plan decenal de Salud Pública (se encuentra en alistamiento para la armonización)
PLANES DE MEDIANO PLAZO: Plan de Desarrollo, Plan territorial de Salud, Plan financiero plurianual.
PLANES DE CORTO PLAZO: Plan financiero plurianual territorial, 13 POAI (Planes operativos anuales de inversión- formulados e implementados), 13 POA (Planes operativos anuales por Dirección- en formulación)</t>
        </r>
      </text>
    </comment>
    <comment ref="P65" authorId="1">
      <text>
        <r>
          <rPr>
            <b/>
            <sz val="9"/>
            <rFont val="Tahoma"/>
            <family val="2"/>
          </rPr>
          <t>mmmadrid:</t>
        </r>
        <r>
          <rPr>
            <sz val="9"/>
            <rFont val="Tahoma"/>
            <family val="2"/>
          </rPr>
          <t xml:space="preserve">
TERRITORIOS SALUDABLES Y RED DE SALUD PARA LA VIDA DESDE LA DIVERSIDAD.
BOGOTA HUMANA AMBIENTALMENTE SALUDABLE.
BOGOTA DECIDE Y PROTEGE EL DERECHO FUNDAMENTAL A LA SALUD PUBLICA
</t>
        </r>
      </text>
    </comment>
    <comment ref="O80" authorId="0">
      <text>
        <r>
          <rPr>
            <b/>
            <sz val="9"/>
            <rFont val="Tahoma"/>
            <family val="2"/>
          </rPr>
          <t>sjgomez:</t>
        </r>
        <r>
          <rPr>
            <sz val="9"/>
            <rFont val="Tahoma"/>
            <family val="2"/>
          </rPr>
          <t xml:space="preserve">
meta de suma
</t>
        </r>
      </text>
    </comment>
    <comment ref="O96" authorId="0">
      <text>
        <r>
          <rPr>
            <b/>
            <sz val="9"/>
            <rFont val="Tahoma"/>
            <family val="2"/>
          </rPr>
          <t>sjgomez:</t>
        </r>
        <r>
          <rPr>
            <sz val="9"/>
            <rFont val="Tahoma"/>
            <family val="2"/>
          </rPr>
          <t xml:space="preserve">
meta de suma</t>
        </r>
      </text>
    </comment>
    <comment ref="O112" authorId="0">
      <text>
        <r>
          <rPr>
            <b/>
            <sz val="9"/>
            <rFont val="Tahoma"/>
            <family val="2"/>
          </rPr>
          <t>sjgomez:</t>
        </r>
        <r>
          <rPr>
            <sz val="9"/>
            <rFont val="Tahoma"/>
            <family val="2"/>
          </rPr>
          <t xml:space="preserve">
meta de suma</t>
        </r>
      </text>
    </comment>
  </commentList>
</comments>
</file>

<file path=xl/comments4.xml><?xml version="1.0" encoding="utf-8"?>
<comments xmlns="http://schemas.openxmlformats.org/spreadsheetml/2006/main">
  <authors>
    <author>sjgomez</author>
    <author>mmmadrid</author>
  </authors>
  <commentList>
    <comment ref="K13" authorId="0">
      <text>
        <r>
          <rPr>
            <b/>
            <sz val="9"/>
            <rFont val="Tahoma"/>
            <family val="2"/>
          </rPr>
          <t>sjgomez:</t>
        </r>
        <r>
          <rPr>
            <sz val="9"/>
            <rFont val="Tahoma"/>
            <family val="2"/>
          </rPr>
          <t xml:space="preserve">
suma
</t>
        </r>
      </text>
    </comment>
    <comment ref="K14" authorId="0">
      <text>
        <r>
          <rPr>
            <b/>
            <sz val="9"/>
            <rFont val="Tahoma"/>
            <family val="2"/>
          </rPr>
          <t>sjgomez:</t>
        </r>
        <r>
          <rPr>
            <sz val="9"/>
            <rFont val="Tahoma"/>
            <family val="2"/>
          </rPr>
          <t xml:space="preserve">
constante</t>
        </r>
      </text>
    </comment>
    <comment ref="K15" authorId="0">
      <text>
        <r>
          <rPr>
            <b/>
            <sz val="9"/>
            <rFont val="Tahoma"/>
            <family val="2"/>
          </rPr>
          <t>sjgomez:</t>
        </r>
        <r>
          <rPr>
            <sz val="9"/>
            <rFont val="Tahoma"/>
            <family val="2"/>
          </rPr>
          <t xml:space="preserve">
constante</t>
        </r>
      </text>
    </comment>
    <comment ref="K17" authorId="0">
      <text>
        <r>
          <rPr>
            <b/>
            <sz val="9"/>
            <rFont val="Tahoma"/>
            <family val="2"/>
          </rPr>
          <t>sjgomez:</t>
        </r>
        <r>
          <rPr>
            <sz val="9"/>
            <rFont val="Tahoma"/>
            <family val="2"/>
          </rPr>
          <t xml:space="preserve">
suma</t>
        </r>
      </text>
    </comment>
    <comment ref="K18" authorId="0">
      <text>
        <r>
          <rPr>
            <b/>
            <sz val="9"/>
            <rFont val="Tahoma"/>
            <family val="2"/>
          </rPr>
          <t>sjgomez:</t>
        </r>
        <r>
          <rPr>
            <sz val="9"/>
            <rFont val="Tahoma"/>
            <family val="2"/>
          </rPr>
          <t xml:space="preserve">
suma</t>
        </r>
      </text>
    </comment>
    <comment ref="K19" authorId="0">
      <text>
        <r>
          <rPr>
            <b/>
            <sz val="9"/>
            <rFont val="Tahoma"/>
            <family val="2"/>
          </rPr>
          <t>sjgomez:</t>
        </r>
        <r>
          <rPr>
            <sz val="9"/>
            <rFont val="Tahoma"/>
            <family val="2"/>
          </rPr>
          <t xml:space="preserve">
suma</t>
        </r>
      </text>
    </comment>
    <comment ref="K20" authorId="0">
      <text>
        <r>
          <rPr>
            <b/>
            <sz val="9"/>
            <rFont val="Tahoma"/>
            <family val="2"/>
          </rPr>
          <t>sjgomez:</t>
        </r>
        <r>
          <rPr>
            <sz val="9"/>
            <rFont val="Tahoma"/>
            <family val="2"/>
          </rPr>
          <t xml:space="preserve">
suma</t>
        </r>
      </text>
    </comment>
    <comment ref="K22" authorId="0">
      <text>
        <r>
          <rPr>
            <b/>
            <sz val="9"/>
            <rFont val="Tahoma"/>
            <family val="2"/>
          </rPr>
          <t>sjgomez:</t>
        </r>
        <r>
          <rPr>
            <sz val="9"/>
            <rFont val="Tahoma"/>
            <family val="2"/>
          </rPr>
          <t xml:space="preserve">
constante</t>
        </r>
      </text>
    </comment>
    <comment ref="K23" authorId="0">
      <text>
        <r>
          <rPr>
            <b/>
            <sz val="9"/>
            <rFont val="Tahoma"/>
            <family val="2"/>
          </rPr>
          <t>sjgomez:</t>
        </r>
        <r>
          <rPr>
            <sz val="9"/>
            <rFont val="Tahoma"/>
            <family val="2"/>
          </rPr>
          <t xml:space="preserve">
constante</t>
        </r>
      </text>
    </comment>
    <comment ref="K25" authorId="0">
      <text>
        <r>
          <rPr>
            <b/>
            <sz val="9"/>
            <rFont val="Tahoma"/>
            <family val="2"/>
          </rPr>
          <t>sjgomez:</t>
        </r>
        <r>
          <rPr>
            <sz val="9"/>
            <rFont val="Tahoma"/>
            <family val="2"/>
          </rPr>
          <t xml:space="preserve">
constante</t>
        </r>
      </text>
    </comment>
    <comment ref="K26" authorId="0">
      <text>
        <r>
          <rPr>
            <b/>
            <sz val="9"/>
            <rFont val="Tahoma"/>
            <family val="2"/>
          </rPr>
          <t>sjgomez:</t>
        </r>
        <r>
          <rPr>
            <sz val="9"/>
            <rFont val="Tahoma"/>
            <family val="2"/>
          </rPr>
          <t xml:space="preserve">
constante</t>
        </r>
      </text>
    </comment>
    <comment ref="K27" authorId="0">
      <text>
        <r>
          <rPr>
            <b/>
            <sz val="9"/>
            <rFont val="Tahoma"/>
            <family val="2"/>
          </rPr>
          <t>sjgomez:</t>
        </r>
        <r>
          <rPr>
            <sz val="9"/>
            <rFont val="Tahoma"/>
            <family val="2"/>
          </rPr>
          <t xml:space="preserve">
suma</t>
        </r>
      </text>
    </comment>
    <comment ref="K28" authorId="0">
      <text>
        <r>
          <rPr>
            <b/>
            <sz val="9"/>
            <rFont val="Tahoma"/>
            <family val="2"/>
          </rPr>
          <t>sjgomez:</t>
        </r>
        <r>
          <rPr>
            <sz val="9"/>
            <rFont val="Tahoma"/>
            <family val="2"/>
          </rPr>
          <t xml:space="preserve">
suma</t>
        </r>
      </text>
    </comment>
    <comment ref="K29" authorId="0">
      <text>
        <r>
          <rPr>
            <b/>
            <sz val="9"/>
            <rFont val="Tahoma"/>
            <family val="2"/>
          </rPr>
          <t>sjgomez:</t>
        </r>
        <r>
          <rPr>
            <sz val="9"/>
            <rFont val="Tahoma"/>
            <family val="2"/>
          </rPr>
          <t xml:space="preserve">
suma</t>
        </r>
      </text>
    </comment>
    <comment ref="K30" authorId="0">
      <text>
        <r>
          <rPr>
            <b/>
            <sz val="9"/>
            <rFont val="Tahoma"/>
            <family val="2"/>
          </rPr>
          <t>sjgomez:</t>
        </r>
        <r>
          <rPr>
            <sz val="9"/>
            <rFont val="Tahoma"/>
            <family val="2"/>
          </rPr>
          <t xml:space="preserve">
suma</t>
        </r>
      </text>
    </comment>
    <comment ref="K31" authorId="0">
      <text>
        <r>
          <rPr>
            <b/>
            <sz val="9"/>
            <rFont val="Tahoma"/>
            <family val="2"/>
          </rPr>
          <t>sjgomez:</t>
        </r>
        <r>
          <rPr>
            <sz val="9"/>
            <rFont val="Tahoma"/>
            <family val="2"/>
          </rPr>
          <t xml:space="preserve">
suma</t>
        </r>
      </text>
    </comment>
    <comment ref="K32" authorId="0">
      <text>
        <r>
          <rPr>
            <b/>
            <sz val="9"/>
            <rFont val="Tahoma"/>
            <family val="2"/>
          </rPr>
          <t>sjgomez:</t>
        </r>
        <r>
          <rPr>
            <sz val="9"/>
            <rFont val="Tahoma"/>
            <family val="2"/>
          </rPr>
          <t xml:space="preserve">
suma</t>
        </r>
      </text>
    </comment>
    <comment ref="K33" authorId="0">
      <text>
        <r>
          <rPr>
            <b/>
            <sz val="9"/>
            <rFont val="Tahoma"/>
            <family val="2"/>
          </rPr>
          <t>sjgomez:</t>
        </r>
        <r>
          <rPr>
            <sz val="9"/>
            <rFont val="Tahoma"/>
            <family val="2"/>
          </rPr>
          <t xml:space="preserve">
suma</t>
        </r>
      </text>
    </comment>
    <comment ref="L33" authorId="1">
      <text>
        <r>
          <rPr>
            <b/>
            <sz val="9"/>
            <rFont val="Tahoma"/>
            <family val="2"/>
          </rPr>
          <t>mmmadrid:</t>
        </r>
        <r>
          <rPr>
            <sz val="9"/>
            <rFont val="Tahoma"/>
            <family val="2"/>
          </rPr>
          <t xml:space="preserve">
- Matriz Del ministerio consolidada
- 18 planes anuales de adquisiciones
- Seguimientos a los proyectos de inversión
No ha avance con respecto a Abril 2015</t>
        </r>
      </text>
    </comment>
    <comment ref="K34" authorId="0">
      <text>
        <r>
          <rPr>
            <b/>
            <sz val="9"/>
            <rFont val="Tahoma"/>
            <family val="2"/>
          </rPr>
          <t>sjgomez:</t>
        </r>
        <r>
          <rPr>
            <sz val="9"/>
            <rFont val="Tahoma"/>
            <family val="2"/>
          </rPr>
          <t xml:space="preserve">
suma</t>
        </r>
      </text>
    </comment>
    <comment ref="L34" authorId="1">
      <text>
        <r>
          <rPr>
            <b/>
            <sz val="9"/>
            <rFont val="Tahoma"/>
            <family val="2"/>
          </rPr>
          <t>mmmadrid:</t>
        </r>
        <r>
          <rPr>
            <sz val="9"/>
            <rFont val="Tahoma"/>
            <family val="2"/>
          </rPr>
          <t xml:space="preserve">
Validador RIPS (Validación de los Registros Individuales RIPS mensual (1))
</t>
        </r>
      </text>
    </comment>
    <comment ref="K36" authorId="0">
      <text>
        <r>
          <rPr>
            <b/>
            <sz val="9"/>
            <rFont val="Tahoma"/>
            <family val="2"/>
          </rPr>
          <t>sjgomez:</t>
        </r>
        <r>
          <rPr>
            <sz val="9"/>
            <rFont val="Tahoma"/>
            <family val="2"/>
          </rPr>
          <t xml:space="preserve">
suma</t>
        </r>
      </text>
    </comment>
    <comment ref="K37" authorId="0">
      <text>
        <r>
          <rPr>
            <b/>
            <sz val="9"/>
            <rFont val="Tahoma"/>
            <family val="2"/>
          </rPr>
          <t>sjgomez:</t>
        </r>
        <r>
          <rPr>
            <sz val="9"/>
            <rFont val="Tahoma"/>
            <family val="2"/>
          </rPr>
          <t xml:space="preserve">
constante</t>
        </r>
      </text>
    </comment>
    <comment ref="K38" authorId="0">
      <text>
        <r>
          <rPr>
            <b/>
            <sz val="9"/>
            <rFont val="Tahoma"/>
            <family val="2"/>
          </rPr>
          <t>sjgomez:</t>
        </r>
        <r>
          <rPr>
            <sz val="9"/>
            <rFont val="Tahoma"/>
            <family val="2"/>
          </rPr>
          <t xml:space="preserve">
constante</t>
        </r>
      </text>
    </comment>
    <comment ref="K40" authorId="0">
      <text>
        <r>
          <rPr>
            <b/>
            <sz val="9"/>
            <rFont val="Tahoma"/>
            <family val="2"/>
          </rPr>
          <t>sjgomez:</t>
        </r>
        <r>
          <rPr>
            <sz val="9"/>
            <rFont val="Tahoma"/>
            <family val="2"/>
          </rPr>
          <t xml:space="preserve">
constante</t>
        </r>
      </text>
    </comment>
    <comment ref="K41" authorId="0">
      <text>
        <r>
          <rPr>
            <b/>
            <sz val="9"/>
            <rFont val="Tahoma"/>
            <family val="2"/>
          </rPr>
          <t>sjgomez:</t>
        </r>
        <r>
          <rPr>
            <sz val="9"/>
            <rFont val="Tahoma"/>
            <family val="2"/>
          </rPr>
          <t xml:space="preserve">
constante</t>
        </r>
      </text>
    </comment>
    <comment ref="K42" authorId="0">
      <text>
        <r>
          <rPr>
            <b/>
            <sz val="9"/>
            <rFont val="Tahoma"/>
            <family val="2"/>
          </rPr>
          <t>sjgomez:</t>
        </r>
        <r>
          <rPr>
            <sz val="9"/>
            <rFont val="Tahoma"/>
            <family val="2"/>
          </rPr>
          <t xml:space="preserve">
suma</t>
        </r>
      </text>
    </comment>
    <comment ref="K44" authorId="0">
      <text>
        <r>
          <rPr>
            <b/>
            <sz val="9"/>
            <rFont val="Tahoma"/>
            <family val="2"/>
          </rPr>
          <t>sjgomez:</t>
        </r>
        <r>
          <rPr>
            <sz val="9"/>
            <rFont val="Tahoma"/>
            <family val="2"/>
          </rPr>
          <t xml:space="preserve">
constante</t>
        </r>
      </text>
    </comment>
    <comment ref="K45" authorId="0">
      <text>
        <r>
          <rPr>
            <b/>
            <sz val="9"/>
            <rFont val="Tahoma"/>
            <family val="2"/>
          </rPr>
          <t>sjgomez:</t>
        </r>
        <r>
          <rPr>
            <sz val="9"/>
            <rFont val="Tahoma"/>
            <family val="2"/>
          </rPr>
          <t xml:space="preserve">
suma</t>
        </r>
      </text>
    </comment>
    <comment ref="K46" authorId="0">
      <text>
        <r>
          <rPr>
            <b/>
            <sz val="9"/>
            <rFont val="Tahoma"/>
            <family val="2"/>
          </rPr>
          <t>sjgomez:</t>
        </r>
        <r>
          <rPr>
            <sz val="9"/>
            <rFont val="Tahoma"/>
            <family val="2"/>
          </rPr>
          <t xml:space="preserve">
constante</t>
        </r>
      </text>
    </comment>
    <comment ref="K47" authorId="0">
      <text>
        <r>
          <rPr>
            <b/>
            <sz val="9"/>
            <rFont val="Tahoma"/>
            <family val="2"/>
          </rPr>
          <t>sjgomez:</t>
        </r>
        <r>
          <rPr>
            <sz val="9"/>
            <rFont val="Tahoma"/>
            <family val="2"/>
          </rPr>
          <t xml:space="preserve">
constante</t>
        </r>
      </text>
    </comment>
    <comment ref="K48" authorId="0">
      <text>
        <r>
          <rPr>
            <b/>
            <sz val="9"/>
            <rFont val="Tahoma"/>
            <family val="2"/>
          </rPr>
          <t>sjgomez:</t>
        </r>
        <r>
          <rPr>
            <sz val="9"/>
            <rFont val="Tahoma"/>
            <family val="2"/>
          </rPr>
          <t xml:space="preserve">
constante</t>
        </r>
      </text>
    </comment>
    <comment ref="K49" authorId="0">
      <text>
        <r>
          <rPr>
            <b/>
            <sz val="9"/>
            <rFont val="Tahoma"/>
            <family val="2"/>
          </rPr>
          <t>sjgomez:</t>
        </r>
        <r>
          <rPr>
            <sz val="9"/>
            <rFont val="Tahoma"/>
            <family val="2"/>
          </rPr>
          <t xml:space="preserve">
constante</t>
        </r>
      </text>
    </comment>
    <comment ref="L49" authorId="0">
      <text>
        <r>
          <rPr>
            <b/>
            <sz val="9"/>
            <rFont val="Tahoma"/>
            <family val="2"/>
          </rPr>
          <t>sjgomez:</t>
        </r>
        <r>
          <rPr>
            <sz val="9"/>
            <rFont val="Tahoma"/>
            <family val="2"/>
          </rPr>
          <t xml:space="preserve">
constante</t>
        </r>
      </text>
    </comment>
  </commentList>
</comments>
</file>

<file path=xl/comments5.xml><?xml version="1.0" encoding="utf-8"?>
<comments xmlns="http://schemas.openxmlformats.org/spreadsheetml/2006/main">
  <authors>
    <author>sjgomez</author>
  </authors>
  <commentList>
    <comment ref="O16" authorId="0">
      <text>
        <r>
          <rPr>
            <b/>
            <sz val="9"/>
            <rFont val="Tahoma"/>
            <family val="2"/>
          </rPr>
          <t>sjgomez:</t>
        </r>
        <r>
          <rPr>
            <sz val="9"/>
            <rFont val="Tahoma"/>
            <family val="2"/>
          </rPr>
          <t xml:space="preserve">
meta de suma</t>
        </r>
      </text>
    </comment>
    <comment ref="O32" authorId="0">
      <text>
        <r>
          <rPr>
            <b/>
            <sz val="9"/>
            <rFont val="Tahoma"/>
            <family val="2"/>
          </rPr>
          <t>sjgomez:</t>
        </r>
        <r>
          <rPr>
            <sz val="9"/>
            <rFont val="Tahoma"/>
            <family val="2"/>
          </rPr>
          <t xml:space="preserve">
meta de suma</t>
        </r>
      </text>
    </comment>
    <comment ref="O48" authorId="0">
      <text>
        <r>
          <rPr>
            <b/>
            <sz val="9"/>
            <rFont val="Tahoma"/>
            <family val="2"/>
          </rPr>
          <t>sjgomez:</t>
        </r>
        <r>
          <rPr>
            <sz val="9"/>
            <rFont val="Tahoma"/>
            <family val="2"/>
          </rPr>
          <t xml:space="preserve">
meta de suma</t>
        </r>
      </text>
    </comment>
  </commentList>
</comments>
</file>

<file path=xl/comments7.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8.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47" authorId="1">
      <text>
        <r>
          <rPr>
            <sz val="11"/>
            <rFont val="Tahoma"/>
            <family val="2"/>
          </rPr>
          <t>El objetivo es cumplir el 100% durante cada trimestre.</t>
        </r>
      </text>
    </comment>
    <comment ref="S49" authorId="1">
      <text>
        <r>
          <rPr>
            <sz val="11"/>
            <rFont val="Tahoma"/>
            <family val="2"/>
          </rPr>
          <t>El objetivo es cumplir el 100% durante cada trimestre.</t>
        </r>
      </text>
    </comment>
  </commentList>
</comments>
</file>

<file path=xl/sharedStrings.xml><?xml version="1.0" encoding="utf-8"?>
<sst xmlns="http://schemas.openxmlformats.org/spreadsheetml/2006/main" count="1478" uniqueCount="412">
  <si>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</si>
  <si>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</si>
  <si>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</si>
  <si>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</si>
  <si>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</si>
  <si>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</si>
  <si>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</si>
  <si>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</si>
  <si>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</si>
  <si>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</si>
  <si>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</si>
  <si>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</si>
  <si>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</si>
  <si>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</si>
  <si>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</si>
  <si>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</si>
  <si>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</si>
  <si>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</si>
  <si>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</si>
  <si>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</si>
  <si>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Gobernanza y Rectoría</t>
  </si>
  <si>
    <t>Fortalecer el liderazgo de la Secretaria Distrital de Salud en la gestión del conocimiento como bien público, mediante la investigación, el análisis en salud y el desarrollo tecnológico y científico, con la participación de la academia, las instituciones y la comunidad, orientando la política de ciencia, tecnología e innovación en salud, de manera que se convierta en factor clave del desarrollo, el progreso social y la equidad, con empoderamiento en los actores del Sistema General de Seguridad Social en Salud.</t>
  </si>
  <si>
    <t xml:space="preserve">Bogotá Decide y Protege el Derecho Fundamental a la Salud Pública </t>
  </si>
  <si>
    <t>Conocimiento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</si>
  <si>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</si>
  <si>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e implementar la Política Pública de Innovación, Ciencia y Tecnología en Salud para el Distrito Capital, a 2016. 128</t>
  </si>
  <si>
    <t>X</t>
  </si>
  <si>
    <t>Gestión Política y técnica de los procesos y procedimientos de Investigaciones y Cooperación en Ciencia Tecnología e Innovación en Salud.</t>
  </si>
  <si>
    <t>Gestión financiera y administrativa de los procesos y procedimientos de Investigaciones y Cooperación en Ciencia Tecnología e Innovación en Salud.</t>
  </si>
  <si>
    <t xml:space="preserve">Gestión polítcia y técnica </t>
  </si>
  <si>
    <t>Gestión financiera y administrativa</t>
  </si>
  <si>
    <t>Componente de Gobernanza y Rectoría</t>
  </si>
  <si>
    <t>Bogotá decide y protege el derecho fundamental a la salud pública</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</si>
  <si>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</si>
  <si>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</si>
  <si>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 xml:space="preserve">Diseño, formulación e implementación de  la política Distrital de ciencia, tecnología e Innovación en Salud
</t>
  </si>
  <si>
    <t>Movilización del conocimiento a través de estrategias como observatorio, revista, alianzas y el portal del conocimiento (biblioteca)</t>
  </si>
  <si>
    <t>x</t>
  </si>
  <si>
    <t>% de avance del diseño, formulación e implementación de   la Política Distrital de ciencia, tecnología e Innovación en Salud</t>
  </si>
  <si>
    <t>Número de Estrategias de movilización del conocimiento funcionando</t>
  </si>
  <si>
    <t>Número de investigaciones formuladas y desarrolladas</t>
  </si>
  <si>
    <t xml:space="preserve"> Gobernanza y Rectoría</t>
  </si>
  <si>
    <t xml:space="preserve">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 </t>
  </si>
  <si>
    <t>Fortalecimiento de la Gestión y Planeación para la Salud</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</si>
  <si>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</si>
  <si>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Construir y poner en funcionamiento el 100% del sistema de Análisis y Evaluación y Políticas de Salud para el Distrito Capital como base para la formulación y ajuste de planes, programas y proyectos, al 2016.</t>
  </si>
  <si>
    <t>Garantizar el financiamiento del 100% del  Plan Territorial de Salud.</t>
  </si>
  <si>
    <t>Formular, implementar y realizar seguimiento de los planes, programas, proyectos y presupuestos  del sector público de la salud de Bogotá.</t>
  </si>
  <si>
    <t>Gobernanza y Rectoria</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</si>
  <si>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</si>
  <si>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</si>
  <si>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</si>
  <si>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Formular y Gestionar 20 planes locales armonizados a las políticas públicas en salud, Plan de Desarrollo Distrital y necesidades de los territorios en el Distrito Capital. </t>
  </si>
  <si>
    <t>Diseño e implementación de instrumentos de seguimiento y evaluación de las políticas en salud del Distrito Capital.</t>
  </si>
  <si>
    <t>Asistencia  técnica  a los referentes de políticas en salud de  responsabilidad de la entidad, en la aplicación de la metodología definida para el análisis y evaluación en sus diferentes etapas.</t>
  </si>
  <si>
    <t xml:space="preserve">Seguimiento y análisis de las políticas en salud  en la etapa del Ciclo en la que se encuentre la política. </t>
  </si>
  <si>
    <t>Formulación e Implementación de la política de financiamiento del sector salud</t>
  </si>
  <si>
    <t>Formulación e implementación de estrategias para garantizar el financiamiento y la sostenibilidad de las fuentes de financiación del sector salud en Bogotá</t>
  </si>
  <si>
    <t>Asesoría y seguimiento a las Empresas Administradoras  de los  Planes de Beneficios - EAPB en el proseso de implementación y ejecución de lo contemplado en el Plan Territorial de Salud 2012-2016</t>
  </si>
  <si>
    <t>Asistencia técnica para la formulación, ejecución, seguimiento y evaluación de los proyectos de inversión del Fondo Financiero Distrital de Salud en el marco del Plan de Desarrollo "Bogotá Humana" 2012-2016</t>
  </si>
  <si>
    <t>Evaluación y registro de los proyectos de las Empresas Sociales del Estado</t>
  </si>
  <si>
    <t>Articulación de instancias de coordinación distrital, local e institucional con el fin de establecer acciones  sectoriales e intersectoriales para el  seguimiento de políticas de salud y la gestión de los diferentes actores e instituciones de salud del D.C.</t>
  </si>
  <si>
    <t>Implementación de directrices y lineamientos impartidos por organismos de  dirección, vigilancia y control en salud, del orden Distrital y Nacional.</t>
  </si>
  <si>
    <t>Desarrollo de estrategias que  optimicen los recursos humanos, financieros y técnicos, destinados a la implementación de políticas de salud.</t>
  </si>
  <si>
    <t>Espacios de análisis entre las distintas dependencias de la Secretaría Distrital de Salud,  Empresas Sociales del Estado, y los demás Sectores del Sistema General de Seguridad Social en Salud que permita la integración y unificación de los conceptos, procesos e instrumentos para garantizar la adecuada ejecución del Plan Territorial de Salud</t>
  </si>
  <si>
    <t>Análisis de la situación de salud de la población del Distrito Capital a las metas de impacto de mortalidad evitable del Plan  de Desarrollo Bogotá Humana y del Territorial de Salud 2012 - 2016.</t>
  </si>
  <si>
    <t>Análisis, seguimiento y evaluación de los compromisos contemplados en el Plan Teritorial de salud y el Plan de Desarrollo Bogotá Humana 2012-2016</t>
  </si>
  <si>
    <t>Diseño e implementación de instrumentos de formulación, implementación, seguimiento y control de planes programas y proyectos del sector salud del Distrito Capital.</t>
  </si>
  <si>
    <t>Programación, actualización y seguimiento a las acciones en salud dirigidas a infancia y adolescencia.</t>
  </si>
  <si>
    <t xml:space="preserve">Liderar, coordinar, formular, actualizar, realizar seguimiento y emitir conceptos y respuestas  del Plan de adquisiciones del FFDS y del SDS. </t>
  </si>
  <si>
    <t>Gestionar internamente y ante las Secretarias de Hacienda y Planeación Distrital las actializaciones financiera de los Proyectos de Inversión del Fondo Financiero Distrital de Salud.</t>
  </si>
  <si>
    <t xml:space="preserve">Elaborar los informes requeridos por los entes de control y demas actores de la Ciudad </t>
  </si>
  <si>
    <t xml:space="preserve">Garantizar el desarrollo Institucional a través de la planeacion, ejeccucion, seguimiento y evaluación al proceso de RIPS  </t>
  </si>
  <si>
    <t>Parametrizar, consolidar , revisar los de Boletines de Estadística de la SDS</t>
  </si>
  <si>
    <t>Diseño de  estrategias para realizar seguimiento a la gestión institucional e implementación de las políticas de salud.</t>
  </si>
  <si>
    <t xml:space="preserve">Evaluación de las políticas de salud incorporadas en los planes locales a traves de la implementación de las estrategias </t>
  </si>
  <si>
    <t>Articulación de propuestas estratégicas de concurrencia, complementariedad y/o subsidiariedad para el desarrollo de políticas públicas en salud, a nivel distrital y local.</t>
  </si>
  <si>
    <t>Gestión, asesoría, apoyo técnico y administrativo para la destinación de recursos que fortalezcan la inversión en salud por parte de los fondos de desarrollo local, según las líneas de inversión definidas.</t>
  </si>
  <si>
    <t>Porcentaje de avance en el diseño e implementación de instrumentos de seguimiento y evaluación</t>
  </si>
  <si>
    <t xml:space="preserve">porcentaje de avance de asistencia técnica a los referentes de políticas
</t>
  </si>
  <si>
    <t>Porcentaje de avance en el seguimiento y análisis de las políticas en salud</t>
  </si>
  <si>
    <t xml:space="preserve">Porcentaje de avance en la formulación e  implementación de estrategias para la sostenibilidad  financiera de la política pública del sector salud
</t>
  </si>
  <si>
    <t>Porcentaje de avance en el diseño e implementación de estrategias de financiamiento para garantizar el cumplimiento de las metas del Plan Territorial de Salud y el Plan de Desarrollo "Bogotá Humana" 2012-2016</t>
  </si>
  <si>
    <t xml:space="preserve">Plan de Salud  cuatrienal anualizado por asegurador </t>
  </si>
  <si>
    <t xml:space="preserve">Número de Proyectos del Fondo Financiero de Salud implementados </t>
  </si>
  <si>
    <t xml:space="preserve">Número de proyectos evaluados e inscritos de las Empresas Sociales del Estado </t>
  </si>
  <si>
    <t xml:space="preserve">INDICADOR: % de avance en la articulación de acciones  con las diferentes instancias de coordinación sectoriales e intersectoriales para el seguimiento de políticas de salud.
</t>
  </si>
  <si>
    <t xml:space="preserve">INDICADOR: % de avance en la implementación de directrices y lineamientos impartidos por organismos de dirección, vigilancia y control.
</t>
  </si>
  <si>
    <t xml:space="preserve">INDICADOR: % de avance en el desarrollo de estrategias propuestas para optimizar recursos humanos, financieros y técnicos destinados a la implementación de políticas de salud.
</t>
  </si>
  <si>
    <t>Número de documento técnico de análisis de metas del Plan Territorial de Salud</t>
  </si>
  <si>
    <t xml:space="preserve">Número de Documentos técnicos de análisis, seguimiento y evaluación de los compromisos del Plan Territorial de Salud </t>
  </si>
  <si>
    <t>Número de Documentos técnicos implementados</t>
  </si>
  <si>
    <t>Porcentaje de actualización de los Proyectos de Inversión del FFDS</t>
  </si>
  <si>
    <t>Porcentaje de cumplimeirnto en la elaboración y presentación de los diferentes informes requeridos por los entes de control y demas actores de la Ciudad</t>
  </si>
  <si>
    <t xml:space="preserve">% de avance en el desarrollo Institucional del proceso de RIPS </t>
  </si>
  <si>
    <t xml:space="preserve">N° de análisis de información con base a RIPS </t>
  </si>
  <si>
    <t xml:space="preserve">N° de reportes de información con base a RIPS </t>
  </si>
  <si>
    <t xml:space="preserve">N° de boletines estadisticos parametrizados publicados en en el  periodo </t>
  </si>
  <si>
    <t xml:space="preserve"> % de avance en el diseño de las estrategias para el seguimiento a la gestión institucional e implementación de las políticas de salud.
</t>
  </si>
  <si>
    <t xml:space="preserve"> % de avance en el seguimiento y evaluación de la gestión de las políticas de salud.
</t>
  </si>
  <si>
    <t xml:space="preserve">% de avance en  la articulación de propuestas de concurrencia, complementariedad y/o subsidiariedad para el desarrollo de políticas publicas en salud, a nivel Distrital y Local. 
</t>
  </si>
  <si>
    <t>% de avance en la gestión, asesoría, apoyo técnico y administrativo para la destinación de recursos en salud, por parte de los Fondos de Desarrollo local.</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</si>
  <si>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</si>
  <si>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Eje Programático de Prestación y Desarrollo de Servicios de Salud</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</si>
  <si>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</si>
  <si>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Territorios saludables y red de salud para la vida desde la diversidad</t>
  </si>
  <si>
    <t>Ciudad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</si>
  <si>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</si>
  <si>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E01C02OB02P879M01</t>
  </si>
  <si>
    <t xml:space="preserve">Vigilar y apoyar  al 100% de los hospitales  del área de influencia del proyecto en la normalización de sus equipamientos respecto del Plan Maestro de Equipamientos de Salud y de acuerdo al estudio de Factibilidad del proyecto Ciudad Salud Región 
</t>
  </si>
  <si>
    <t>E01C02OB02P879M02</t>
  </si>
  <si>
    <t xml:space="preserve">Adoptar el modelo de Gestión y operación interinstitucional del proyecto Ciudad Salud Región
</t>
  </si>
  <si>
    <t>E01C02OB02P879M03</t>
  </si>
  <si>
    <t xml:space="preserve">Consolidar a la red pública adscrita de Bogotá como socio estratégico de la puesta en marcha y operación del Clúster de Servicios de Salud – Ciudad Salud 
</t>
  </si>
  <si>
    <t xml:space="preserve">Porcentaje de articulación intersectorial en el proceso de operación  del proyecto Ciudad Salud 
</t>
  </si>
  <si>
    <t>Programado 2015</t>
  </si>
  <si>
    <t>Ejecutado
2015</t>
  </si>
  <si>
    <t>Gestión del conocimiento a través del desarrollo de investigaciones y el fomento de la innovación</t>
  </si>
  <si>
    <t>Liderar el trabajo Sectorial e Intersectorial para la armonización del Plan 
Territorial de salud 2012 -2016  con el Plan Decenal de Salud Publica de acuerdo con la normatividad y los lineamientos dados por el Ministerio de Salud y la Protección Social, el alistamiento para la  formulación del Plan Territorial en Salud 2016-2020 en el marco del mismo plan.</t>
  </si>
  <si>
    <t>Realizar seguimiento a las acciones en salud, dirigidas a los grupos especiales de población (Victimas del conflicto armado, LGBTI, Afrodecendientes, adulto mayor y ROOM).</t>
  </si>
  <si>
    <t>Realizar seguimiento y evaluación a las lineas de inversión en Salud en las localidades.</t>
  </si>
  <si>
    <t>Revisión y ajuste a los documentos de analisis de información relacionados con eventos de interés en Salud Pública, basados en los registros de prestación de salud.</t>
  </si>
  <si>
    <t>Generar salidas de información de acuerdo a las solicitudes realizadas por entes internos y externos.</t>
  </si>
  <si>
    <t>Porcentaje de avance en la armonización del Plan Territorial de salud 2012 -2016  con el Plan Decenal de Salud Publica.</t>
  </si>
  <si>
    <t>Numero de matrices de seguimiento trimestral actualizada con la información de  los grupos especiales de población (Victimas del conflicto armado, LGBTI, Afrodecendientes, adulto mayor y ROOM).</t>
  </si>
  <si>
    <t>Numero de matrices de seguimiento mensual por localidad con los Proyectos de Inversión en Salud</t>
  </si>
  <si>
    <t>Porcentaje de seguimiento a las acciones n salud dirigidas a infancia y adolescencia.</t>
  </si>
  <si>
    <t xml:space="preserve">Porcentaje de seguimiento al Plan de adquisiciones del FFDS y del SDS. </t>
  </si>
  <si>
    <t>Evaluados 170
Inscritos 55</t>
  </si>
  <si>
    <t>Incorporación de instrumentos normativos  (planes de regularización, planes parciales  y el Plan Especial de Manejo de Protección para el Hospital San Juan de Dios y el Instituto Materno Infantil según Ciudad Salud)</t>
  </si>
  <si>
    <t xml:space="preserve">Articulación intersectorial en el proceso de operación  del proyecto Ciudad Salud </t>
  </si>
  <si>
    <t>Acciones de coordinación entre la Secretaría Distrital de Salud y el gobierno del Clúster (operadores públicos - privados)</t>
  </si>
  <si>
    <t xml:space="preserve">Porcentaje de cumplimiento en la normalización de sus equipamientos respecto del Plan Maestro de Equipamientos de Salud y de acuerdo con el estudio de Factibilidad del proyecto Ciudad Salud Región en las ESE localizadas en el área de influenza del proyecto 
</t>
  </si>
  <si>
    <t xml:space="preserve">Porcentaje de acciones de coordinación entre la Secretaría Distrital de Salud y el gobierno del Clúster (operadores públicos - privados)
</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</si>
  <si>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</si>
  <si>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</si>
  <si>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</si>
  <si>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</si>
  <si>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</si>
  <si>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</si>
  <si>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</si>
  <si>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</si>
  <si>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</si>
  <si>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</si>
  <si>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</si>
  <si>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</si>
  <si>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</si>
  <si>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</si>
  <si>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</si>
  <si>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</si>
  <si>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</si>
  <si>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</si>
  <si>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</si>
  <si>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</si>
  <si>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</si>
  <si>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</si>
  <si>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</si>
  <si>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 de avance en las etapas para el mantenimiento de la certificación de la SDS</t>
  </si>
  <si>
    <t>Seguimiento trimestral</t>
  </si>
  <si>
    <t>% de avance en la  implementación de los subsistemas del sistema integrado de gestión</t>
  </si>
  <si>
    <t>Nombre de la Direción u Oficina:  Dirección de Planeación Sectorial</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</si>
  <si>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</si>
  <si>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</si>
  <si>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</si>
  <si>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</si>
  <si>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Se llevaron a cabo encuentros con diferentes actores, con la empresa española Dentix, Invest in Bogotá y Procolombia, con el Centro Regulador de Urgencias y Emergencias de Barcelona, con el Fondo Noruego-Sueco de Cooperación, con la Agencia de Cooperación Alemana –GIZ-, con la Embajada Belga, con la Embajada Cubana, con la municipalidad de Santiago de Chile,  con la Organización Panamericana de la Salud, con el Ministerio de Salud de Chile, en alianza con la OPS/OMS, con el Instituto del Trauma de Costa Rica, con el Hospital de la Charité en Berlin, el Ministerio de Salud de Costa Rica,  con la Pan American Development Foundation, Oficina adscrita a la Organización de Estados Americanos, con la Oficina principal de la Red Latinoamericana de Salud sin Daño en Argentina, con la Generalitat de Cataluña en temas de salud y con la con la Dirección Distrital de Relaciones Internacionales-DDRI para Bogotá Climate Summit.</t>
  </si>
  <si>
    <t xml:space="preserve">Se actualiza el mes de junio el proyecto de inversión “872 Conocimiento para la Salud” en el aspecto técnico y financiero acorde al presupuesto 2015 y se actualiza el aplicativo SISCO  Actualización de las Modificaciones realizadas al Plan de adquisiciones del proyecto 872 y Actualización Fechas y valores de 20 Requerimientos, y a su vez se actualizo el proceso precontractual en el Aplicativo (Registro de la Información precontractual, CDP, Talento Humano, Estudios Previos, Invitación a contratar, Constancia de Idoneidad, Lista de Chequeo y Selección del Contratista, de 10 requerimientos de Persona Natural).
 Se realiza el PAC 2015 y de las Reservas 2014 del proyecto, se realiza el trámite administrativo para dos (2) contratación: dos (2) contrato de persona natural, en el mes de junio se encuentra contratado el 93 % del Talento humano, y un (1) contrato de persona jurídica y se realiza el trámite de liquidación de los convenios 1426-2013 suscrito con la Fundación Universitaria Ciencias de la Salud, 1803-2013 suscrito con la Universidad de San Buenaventura, 1878-2013 suscrito con la Pontificia Universidad Javeriana. 
Se actualiza el Plan de adquisiciones 872 "Conocimiento para la salud" con las fechas y valores estipulados en las contrataciones de persona natural y jurídica 2015.
En el mes de junio se realiza actualización del proyecto de inversión 872 “conocimiento para la Salud” de acuerdo a 1 modificaciones al plan anual de adquisiciones del Proyecto 872 “Conocimiento para la Salud” para contra acreditar el valor de ($35.016.000) del proyecto 872 “Conocimiento para la Salud” al proyecto 885 “Salud Ambiental”. 
Se elabora y envía el Seguimiento de enero a junio  del proyecto de inversión 872 “Conocimiento para la Salud” en el aplicativo disponible para llevar a cabo el proceso, en los componentes de metas, actividades, localidades, presupuesto, avances, logros, resultados, dificultades, población beneficiada y fuentes de inversión.
</t>
  </si>
  <si>
    <t>Seguimiento Anual</t>
  </si>
  <si>
    <t xml:space="preserve">
Revisión a los encabezados de los documentos como formatos, manuales, lineamientos, etc., según la nueva estructura organizacional y mapa de procesos.
Se presentó la propuesta de actualización de la gestión documental asociada al proceso acorde con la directriz de la líder del mismo. 
Se programó la socialización del nuevo mapa de procesos para todos los colaboradores de la Subsecretaría (3 direcciones), con la definición del lugar y la hora.
Se definió la estrategia de socialización del nuevo mapa de procesos con una presentación corta y por grupos.
Se diseñó un pequeño instrumento para evaluar la apropiación del conocimiento sobre el nuevo mapa de procesos institucional.
</t>
  </si>
  <si>
    <t xml:space="preserve">Ajuste a los encabezados de los documentos como formatos, manuales, lineamientos, etc., según la nueva estructura organizacional y mapa de procesos, relacionados con el proceso de Gestión del Conocimiento e Innovación
Propuesta de actualización de la gestión documental asociada al proceso acorde con la directriz de la líder del mismo. 
Se logró acuerdo de socialización para grupos de 30 personas, con duración de 20 minutos cada uno y se hizo la convocatoria pertinente.
La estrategia de socialización del nuevo mapa de procesos, a través de una corta exposición, aclarando los puntos relevantes a tener en cuenta.
Se contó con el instrumento para evaluar la apropiación del conocimiento sobre el nuevo mapa de procesos institucional.
Se tiene la información relacionada para el informe de POA correspondiente al periodo.
</t>
  </si>
  <si>
    <t xml:space="preserve">Encabezados de los documentos relacionados con el proceso de Gestión del Conocimiento e Innovación, como formatos, guías, lineamientos, procedimientos, etc., ajustados a la nueva estructura organizacional y nuevo mapa de procesos, 
Propuesta de actualización de la gestión documental asociada al proceso acorde con la directriz de la líder del mismo. 
Socialización a los colaboradores de la Subsecretaría (Dirección de Planeación Sectorial, Dirección de Infraestructura y Tecnología y Dirección de Análisis de Entidades Públicas Distritales del Sector Salud).
Evaluación de la apropiación del conocimiento sobre el nuevo mapa de procesos institucional con resultados satisfactorios.
Se tiene la información relacionada para el informe de POA correspondiente al periodo.
</t>
  </si>
  <si>
    <t>N/A</t>
  </si>
  <si>
    <t xml:space="preserve">Invitación a los colaboradores del grupo al diligenciamiento de la encuesta de caracterización Sociodemográfica.
Solicitud de revisión con referente, en lo relacionado con la afiliación a la ARL de todos los colaboradores del grupo. 
No se presentaron accidentes de trabajo
Se inicia el diligenciamiento de la tabla de retención documental.
Se convoca a los colaboradores del grupo a conocer el subsistema de Seguridad de la Información.
</t>
  </si>
  <si>
    <t xml:space="preserve">El grupo de investigaciones diligencia la encuesta de caracterización Sociodemográfica.
Revisada la base de datos se evidencia que todos los colaboradores del grupo se encuentran afiliados a la ARL. 
No se presentaron accidentes de trabajo
Tabla de retención documental en proceso.
El grupo de investigaciones realiza la actividad que propusieron para conocer el subsistema de seguridad de la información.
</t>
  </si>
  <si>
    <t xml:space="preserve">Caracterización sociodemográfica de colaboradores del grupo funcional completa.
Todos los colaboradores del grupo se encuentran afiliados a la ARL. 
No se presentaron accidentes de trabajo
Tabla de retención documental en proceso.
El grupo de investigaciones conoce el subsistema de seguridad de la información.
</t>
  </si>
  <si>
    <t xml:space="preserve">Avance en el reconocimiento del territorio de acuerdo a la metodología PASE a la equidad, a través del desarrollo de reuniones sectoriales e  intersectoriales quincenales para implementación de metodología PASE a la equidad en salud. Participante: Secretaría de integración Social del Distrito, Secretaría de Planeación Distrital; Secretaría Distrital de Educación, Secretaría de Movilidad; Caja de Vivienda Popular; Secretaría distrital de Ambiente; educación; Unidad Especial de servicios Públicos UAESP; IDIPRON; entre otras 
Socialización de metodología PASE con universidades integrantes de la Alianza por la Salud Pública, como puerta de entrada a la formulación del próximo plan de  salud pública.
Reunión con IDECA para coordinar disponibilidad de información existente en esta institución y que se requiere para el desarrollo de la metodología PASE a la Equidad en salud.  
Gestión y obtención de información de distintos sectores relacionadas con las dimensiones del desarrollo Poblacional, Ambiental, Social, Económica.
Diligenciamiento de los aplicativos PASE, para disponer de información de las dimensiones del desarrollo, en el avance de la metodología.
Gestión para la participación de la Subsecretaria de Participación Social y Gestión territorial, en la movilización comunitaria en la formulación del plan. 
</t>
  </si>
  <si>
    <t xml:space="preserve">Solicitud de entrega del avance del primer semestre 2015 del plan de acción de la Política LGBTI, como insumo para subir al aplicativo SIPA.
Participación de las reuniones semanales del grupo interdirecciones de victimas.
Participación en el Comité Ampliado de la política de Victimas convocado por la Alta Consejería para las víctimas.
Revisión y análisis de los indicadores de gestión del sector salud con la Alta Consejería.
Revisión y ajustes con el grupo RIPS de los indicadores propuestos por la Alta Consejería.
Presentación de las sugerencias de cambio  de los indicadores propuestos por la Alta Consejería.
Consolidación informe de Gestión preliminar 2012-2014.
</t>
  </si>
  <si>
    <t xml:space="preserve">Se realizó el seguimiento de los recursos del FFDS territorializables al 30 de junio de 2015, donde del total de estos recursos $1.717.101.161.586, se han ejecutado $853.101.715.655, que corresponden a un nivel de ejecución del 49.7% y se han realizado giros en el mismo periodo por valor de   $435.641.464.304, que representan el 25.4% de lo asignado.
Se realizó el seguimiento de los recursos ejecutados por parte de los Fondos de Desarrollo Local, con corte al 30 de junio de 2015, donde del total de los recursos asignados a los Fondos de Desarrollo Local FDL de la 20 Localidades del Distrito por valor de  $707.913.500.678, se han ejecutado al 30 de junio de un total de $295.768.972.824 (41.78%) y se han realizado giros por valor de $24.728.384.345, que equivalen a tal sólo el 3.49%, del total.
Las localidades que han presentado un mayor porcentaje de ejecución son en su orden: Engativá (79.2%), Puente Aranda (72.7%), Los Mártires (63.25) y Bosa con el (57.7%); de otra parte, las localidades con los menores porcentajes de ejecución son: Kennedy (16.4%), La Candelaria (22.8%), Rafael Uribe Uribe (24%) y Fontibón con el (27.4%) 
De los recursos asignados por parte de los Fondos de Desarrollo Local FDL, estos han destinado recursos de inversión para la ejecución a actividades en las líneas de inversión en salud contempladas en el Marco de la Directiva 005 de 2012, donde para la vigencia 2015 se han destinado un total de $9.966.362.406, de los cuales, con corte al 30 de junio de 2015 y que representan el (1.41%) de total de los recursos asignados. Los 20 Fondos de Desarrollo Local han realizado compromisos por valor de $5.763.985.958, para un nivel de ejecución de tan solo el 57.8%. y se han realizado únicamente giros por valor de $122.774.435, que equivale al 1.1% de los compromisos al 30 de junio de 2015. 
Con corte al 30 de junio de 2015, dieciséis (16) localidades han realizado ejecuciones en proyectos de inversión para realizar acciones en líneas de inversión en salud estas son:
1. La Localidad de Usaquén con el proyecto No. 0827 “Promoción de la salud desde la autonomía, la dignificación y la convivencia” ha realizado compromisos por valor de $212.030.000, que corresponde al 100% y se han realizado giros por valor de $9.600.000, que representan el 4.5% del total de los recursos asignados.
2. La Localidad de Chapinero con el proyecto No. 0876 “Prevención integral en salud a la población vulnerable” ha realizado compromisos por valor de $69.783.161, que corresponde al 97.7% y no se han realizado giros.
3. La Localidad de Santafé con el proyecto No. 1149 “Santa Fe con salud para todas y todos” ha realizado compromisos por valor de $155.841.353, que corresponde al 62.3% y no se han realizado giros.
4. La Localidad de Tunjuelito con el proyecto No. 1064 “Promoción y prevención en salud, con enfoque diferencial y énfasis en población con factores de riesgo asociados en salud mental.” ha realizado compromisos por valor de $289.631.458, que corresponde al 80.5% y no se han realizado giros.
5. La Localidad de Kennedy con el proyecto de inversión No. 1062 “Promoción de la salud y el bienestar físico y mental de la población”, donde se han realizados compromisos por valor de $977.459.560, para un nivel de ejecución del 97.7%, no se han realizado giros.
6. La Localidad de Fontibón con el proyecto de inversión No. 1085 “Salud para vivir bien en Fontibón”, donde se han realizados compromisos por valor de $358.200.000, para un nivel de ejecución del 49.8% y se han realizado giros por valor de $5.142.000, que representa el 0.7%, de los recursos asignados.
7. La Localidad de Engativá con el proyecto de inversión No. 1234 “Promoción, prevención y atención en salud”, donde se han realizados compromisos por valor de $180.000.000, para un nivel de ejecución del 80%, no se han realizado giros.
8. La Localidad de Barrios Unidos con el proyecto de inversión No. 1016 “Promoción, prevención y atención en salud para los habitantes de la localidad de Barrios Unidos”, donde se han realizados compromisos por valor de $200.000.000, para un nivel de ejecución del 100%, no se han realizado giros.
9. La Localidad de Teusaquillo con el proyecto de inversión No. 1018 Teusaquillo, territorio de vida, con salud”, donde se han realizados compromisos por valor de $140.000.000, para un nivel de ejecución del 70%, no se han realizado giros.
10. La Localidad de Mártires con el proyecto de inversión No. 0967 “Proyecto: promoción y prevención de la salud”, donde se han realizados compromisos por valor de $276.000.000, para un nivel de ejecución del 92%, no se han realizado giros.
11. La Localidad de Antonio Nariño con el proyecto de inversión No. 0980 “Promoción y prevención de enfermedades con enfoque de salud familiar y comunitaria para la población de la localidad.”, donde se han realizados compromisos por valor de $74.712.000, para un nivel de ejecución del 17.3%, no se han realizado giros.
12. La Localidad de Puente Aranda con el proyecto de inversión No. 0959 “Fortalecer el sistema local de salud por medio de programas de promoción, prevención, campañas y divulgación en salud primaria.”, donde se han realizados compromisos por valor de $349.339.000, para un nivel de ejecución del 97.6%, no se han realizado giros.
13. La Localidad de Candelaria con los proyectos de inversión No. 1263 “Promoción y prevención en salud candelaria”, ha realizado compromisos por valor $124.000.000 que corresponden al 95.4% y no se han realizado giros y  el proyecto No. 1266 “Ayudas técnicas a discapacitados no incluidas en el POS y subsidio tipo C para adulto mayor”, ha realizado compromisos por valor $391.346.759que corresponden al 49.15% y se han realizado giros por $108.032.435 y que corresponde al 13.6% del total de los compromisos.
14. La Localidad de Rafael Uribe Uribe con el proyecto de inversión No. 1133 “Fortalecimiento integral de los servicios de salud”, donde se han realizados compromisos por valor de $941.000.000, para un nivel de ejecución del 85.5%, no se han realizado giros.
15. La Localidad de Ciudad Bolívar con el proyecto de inversión No. 0820 “Promoción y prevención en salud a la población vulnerable”, donde se han realizados compromisos por valor de $999.999.921, para un nivel de ejecución del 100%, no se han realizado giros.
16. La Localidad de Sumapaz Aranda con el proyecto de inversión No. 0819 “Acciones de promoción y prevención en salud”, donde se han realizados compromisos por valor de $24.642.746, para un nivel de ejecución del 9.9%, no se han realizado giros.
</t>
  </si>
  <si>
    <t xml:space="preserve">En el marco del Proceso de Rendición pública de cuentas Infancia y Adolescencia, se realiza y entrega  la matriz de gasto público y social del sector salud para la implementación de la Política Pública de Infancia Adolescencia para los años 2012 a 2014 y proyección presupuestal 2015-2016; la cual hace parte del Módulo I de dicho informe. Esta matriz es entregada a las  Secretarías de Hacienda y Planeación. 
Se prepara toda la información y las herramientas necesarias para atender a la Auditoría Fiscal que realizó la Contraloría de Bogotá a la SDS respecto a la inversión realizada para los niños, niños y adolescentes en el marco de la implementación de la Política de Infancia y Adolescencia., los días 25 y 26 de junio de 2015.
</t>
  </si>
  <si>
    <t xml:space="preserve">Seguimiento a la gestión contractual del mes de Junio de 2015, Reporte en el aplicativo PREDIS de las ejecuciones presupuestales del mes de junio de 2015 y seguimiento financiero del mes de junio al Plan Anual de Adquisiciones 2015, revisión a  solicitudes de modificación al plan anual de adquisiciones de la Entidad para el mes, consolidación del numero de modificaciones solicitadas al mismo y de lo corrido del 2015. </t>
  </si>
  <si>
    <t>En el mes de Junio  se realizaron 3 traslados entre conceptos de gasto, de los proyectos :869(1); 872(1); 874(1</t>
  </si>
  <si>
    <t xml:space="preserve">Para el FFDS y SDS se reportó el formulario 50. Con sus respectivos formatos. 
Los informes de Mayo  de 2015 quedaron aceptados en el Ente de Control  el 9 de Junio  de 2015.
Se reportaron 12 formatos. (7 FFDS Y 5 SDS).
</t>
  </si>
  <si>
    <t xml:space="preserve">RIPS
Red Adscrita se validan y se aprueban RIPS a  22 ESE para un total de593,125 registros con cierre a Mayo de 2015, se aceptaron a las ESE Usaquén, Engativá, Meissen, Del Sur, Tunjuelito, Centro Oriente y San Blass, lo que estaba pendiente del mes de abril de 2015.
Red Contratada se valida y se aprueba RIPS del Instituto Nacional de Cancerología del mes de Mayo de 2015 con un total de 4,134 registros, se aprueban RIPS adicionales de 4 meses anteriores con un total de 831 registros autorizados por Aseguramiento.
Red de escolaridad Se validaron 18 Archivos que corresponden a 1,759 registros, pertenecientes a 9 ESE, los cuales se aprobaron 10 archivos con 604 registros de 7 ESE y se rechazaron 8 archivos con 1,155 registros de 3 ESE
Red de urgencias Se validaron 118 Archivos que corresponden a 23,606 registros, pertenecientes a 44 prestadores, los cuales se aprobaron 34 archivos con 4,452 registros de 16 prestadores y se rechazaron 84 archivos con 18,404 registros de 36 prestadores.
Red subsidiada 
- EPSS Capital Salud, se validaron los RIPS de Abril de 2015 con un total de 2.475.089 registros, los cuales fueron rechazados.
- Red Adscrita se validaron RIPS de10 ESE por 1.354.215 registros, se aceptó de Fontibón, Nazareth, La Victoria, San Cristobal, Pablo VI Bosa, Meisssen y se rechazaron 518,928 de 4 hospitales por inconsistencias San Blass, Chapinero, Engativá y Simón Bolívar.
Red IVE: Se validaron y se aceptaron RIPS del año 2014 y 2015 de las ESE La Victoria, San Cristobal, Bosa II, Meissen y Vista Hermosa con un total de registros 3,165  aprobados, se rechazan RIPS de la ESE Kennedy y Clínica el Country.  
RIPS Particulares: 
- Se enviaron respuestas a prestadores de 1,749 archivos que fueron aprobados y 800 archivos fueron rechazados, del total recibido durante el mes de enero de 2015.
- Se validaron correcciones RIPS recibidos en un total de 1,157212 registros de los cuales fueron aprobados 477,377 registros y se rechazaron nuevamente 679,835 registros que corresponden a 203 prestadores únicos. 
- Se han prestado asesorías telefónicas en RIPS a 21 prestadores y descargas del validador de queries son 179.
Validador Queries y Cargador RIPS:
''Avances en el desarrollo mejorando su funcionalidad y  calidad de los datos RIPS 
Se realizan pruebas de funcionamiento local el Cargador RIPS antes de realizar implementación en servidor. 
Se realiza instalación en servidor de producción del Cargador RIPS con ayuda del personal del área de TICs. 
Se realizan las siguientes modificaciones a la base datos BDRIPS: 
Se adiciona campo de zona de residencia a todas las estructuras de RIPS. 
Se modifican todos los procedimientos almacenados del validador que consultan a la base de datos de RIPS para que apunten a los nuevos nombres de tablas. 
Se actualizan las vistas de la base de datos BDRIPS para que apunten a los nuevos nombres de tablas. 
Se modifica el nombre de la tabla Auditoria a Auditoria Cargador y el de control _RIPS a Auditoria _ZIPS. 
Se modifican las tablas Tipo de base de datos del Validador de Queries, ya que la longitud de los campos era incorrecta y se presentaban errores de truncamiento al almacenar los archivos de RIPS. 
Se crea Vista en base de datos DBRIPS para visualizar los registros de IVE en conjunto
Se realiza actualización de la tabla de referencia de prestadores con base en los registros publicados en la página del Ministerio. 
Se modifica la consulta de IVE para utilizar los datos directamente de la vista de la base de datos. Adicionalmente se seleccionan primero los procedimientos de Ive únicos y posteriormente se identifican los medicamentos que no hacen parte de un procedimiento ya realizado.
Se crea tabla dinámica de Eventos IVE y Atenciones IVE con corte 17/06/2015 para posteriores consultas.
Se crea tabla dinámica de Eventos IVE y Atenciones IVE con corte 30/06/2015 para posteriores consultas.
Capacitaciones:
- Manejo y codificación en RIPS a Instructores y Alumnos del SENA Regional Bogotá, 220 asistentes
Reuniones:
- Asesoría personalizada sobre RIPS IVE (Interrupción Voluntaria de embarazo) a: Unisalud, Clínica Veraguas de Saludcoop, ESE Tunjuelito.
- Reuniones sobre codificación IVE (Interrupción VOluntaria del Embarazo) con las redes de las ESE, Norte, Sur, Suroccidente y Oriente.
- Reuniones de Grupo Gestión de Información sobre el proceso de Sistemas de Información se realizaron dos.
Correspondencia:
Entradas:
- Información de RIPS de Abril de 2015 de Capital Salud EPSS.
- Información de RIPS IVE (Interrupción Voluntaria del Embarazo) de la Clínica Country.
- Solicitud de habilitación de la página Web de la SDS por parte del Instituto del Corazón de Bucaramanga.
- Proposición 235 del Consejo enviada por el subsecretario de Despacho.
Salidas:
- Contestación a derecho de petición N° 2015ER42790-C1. 
- Envío de información RIPS de Mayo a Dirección de Aseguramiento y Garantía al derecho a la salud
-  Contestación a derecho de petición N° 2015ER41422-C1.
- Respuesta a Procuraduría Delegada sobre IVE (Interrupción Voluntaria del Embarazo) según radicado 2015ER498250 . 
- Respuesta a proposición 235 del Concejo Distrital sobre IVE (Interrupción Voluntaria del Embarazo)
- Respuestas internas a Dirección de TIC, a Dirección de Salud Colectiva y Participación Social,
- Solicitudes internas al Director de Gestión de Talento Humano Gestión Territorial y Transectorial.
</t>
  </si>
  <si>
    <t xml:space="preserve">Actualización en el documento de análisis de concordancia entre los sistemas de información RIPS y SIVIGILA para los eventos Tuberculosis, meningitis, sífilis congénita, VIH en aspectos relacionados con la búsqueda de datos asociados con las atenciones para los eventos de análisis en el aplicativo SISPRO, con la finalidad establecer el índice de kappa para cada uno de ellos.
- Actualización del documento de Modelo Estadístico Epidemiológico seguimiento a evento mortalidad materna en Bogotá periodo 2012 - 2014  en aspectos relacionados con hallazgos, conclusiones, intervenciones y  recomendaciones.
- Documentos finales de análisis de información de EDA y desnutrición pendiente revisión.
</t>
  </si>
  <si>
    <t xml:space="preserve">Número de atenciones por traumatismo en la cabeza en accidentes de tránsito por hospital y por edad agrupada, año 2014.
- Número de atenciones por accidentes de usuarios residentes en chapinero, por causa externa y hospital donde lo atendieron año 2015.
- 5 primeras causas diagnosticas por edad, sexo, tipo atención y número de atenciones por VIH, en gestantes por edad, periodo 2011-2014 
- Diagnósticos en menores de 5 años y mayores de 65 años por neumonía por atenciones e individuos en 2014
- 10 primeras causas diagnósticas por localidad y edad por individuos atenciones y sexo en 2014
- Informe general de atenciones de infancia y adolescencia, SEGPLAN mensual (mayo 2015)
- Diagnósticos trastornos del sueño por grupo de edad y sexo 2013-2014 (derecho petición)
- Número de individuos gestantes que demandaron atenciones de salud mental y del comportamiento, 2012-2014, para el Concejo
- Valor de las atenciones de consulta y procedimientos por hospital de la red adscrita año 2014
- Atenciones con diagnósticos de enfermedad huérfana para realizar estudio y análisis, año 2014
Número de casos por localidad y casusa de atención para eventos de IVE (Interrupción Voluntaria del Embarazo) año 2014, dando respuesta a proposición del Concejo
- Números de usuarios por tipo de aseguramiento y causas atenciones IVE (Interrupción Voluntaria del Embarazo) 2014
- Número de individuos atendidos en el periodo por institución 2014-2015 (junio)
- Informe de atenciones diagnósticas de trauma y ortopedia población vinculada, desplazada, atenciones no POS, contributivo y subsidiado del 2009-2014.
- Eventos IVE por Prestador - 2014-2015
Usuarios IVE por Edad - 2014-2015 (&lt;18 &amp; 18-28)
- Atenciones IVE por Prestador y Mes - 2014-2015
- Eventos IVE por Causal y Edad - 2014  (&lt;18 &amp; 18-28)
- Eventos IVE por Causal - Eventos IVE por prestador - Eventos IVE por ciclo vital - 2014 (Quinquenal)
- Eventos IVE por año, localidad, causal y grupo de edad 2014 (corte 30 junio 2015)
</t>
  </si>
  <si>
    <t xml:space="preserve">Consolidación de la información para incluir en el Boletín de estadísticas del año 2014 de las siguientes Direcciones o Áreas Misionales: Laboratorio de Salud Pública, Aseguramiento, SISVAN.  
- Seguimiento  a radicado 215IE13617 del 13 de junio de 2015,  mediante oficio para realizar solicitud de información del Boletín Estadístico 2014, Dirección de Salud Colectiva, Programa Territorios Saludables.                                  Publicación de los tomos I,II y III del Boletín de estadísticas del año 2010 en versión PDF, en la página Web de la Secretaria Distrital De Salud
</t>
  </si>
  <si>
    <t xml:space="preserve">Sesiones de trabajo con el referente de la dirección de Calidad asignado al proceso para la revisión documental. 
• Revisión con profesionales líderes de los procedimientos en el área de investigaciones.
• Ajuste a la documentación del proceso como formatos, guías, lineamientos, procedimientos, etc., específicamente en lo relacionado con los encabezados dada la nueva estructura y el nuevo mapa de procesos institucional.
• En apoyo con el profesional de comunicaciones de la subsecretaria se programa y agenda la actividad de socialización del nuevo mapa de procesos para todos los colaboradores de la Subsecretaría.
• Con el profesional de la Dirección de Planificación Institucional y de Calidad se revisa presentación para la actividad de socialización, así como el formato de evaluación.
• Se convoca a los profesionales a participar en la actividad.
• Se realiza la actividad de socialización con el apoyo de profesional de la dirección de calidad.
• Elaboración de informe de indicadores trimestrales del proceso gestión del Conocimiento e Innovación.
</t>
  </si>
  <si>
    <t xml:space="preserve">Invitación y asesoría a los colaboradores del grupo para contestar la encuesta de caracterización sociodemográfica.
• Solicitud a la referente del grupo para verificar la afiliación a la ARL de todos los colaboradores del grupo funcional.
• Solicitud a profesional del grupo para apoyar lo relacionado con tabla de retención documental.
• Invitación a los colaboradores del grupo a conocer el subsistema de seguridad de la información.
• Apoyo a la realización de la actividad que para el subsistema de seguridad de la información se programó.
</t>
  </si>
  <si>
    <t>Fecha de diligenciamiento: Junio 2015</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</si>
  <si>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</si>
  <si>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</si>
  <si>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</si>
  <si>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CIUDAD QUE REDUCE LA SEGREGACIÓN Y LA DISCRIMINACIÓN: EL SER HUMANO EN EL CENTRO DE LAS PREOCUPACIONES DEL DESARROLLO</t>
  </si>
  <si>
    <t>EJE ESTRATEGICO DEL PLAN TERRITORIAL DE SALUD PARA BOGOTÁ 2012-2016: COMPONENTE DE GOBERNANZA Y RECTORIA</t>
  </si>
  <si>
    <t>PROGRAMA DEL PLAN DE DESARROLLO BOGOTA HUMANA 2012-2016:  TERRITORIOS SALUDABLES Y RED DE SALUD PARA LA VIDA DESDE LA DIVERSIDAD</t>
  </si>
  <si>
    <t>PROYECTO DE INVERSIÓN DEL PLAN DE DESARROLLO BOGOTA HUMANA 2012-2016:  CONOCIMIENTO PARA LA SALUD</t>
  </si>
  <si>
    <t>NUMERO
META
SEGPLAN</t>
  </si>
  <si>
    <t>PROYECTO</t>
  </si>
  <si>
    <t>VALOR MAGNITUD ANUAL</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</si>
  <si>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</si>
  <si>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</si>
  <si>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</si>
  <si>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</si>
  <si>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</si>
  <si>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</si>
  <si>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</si>
  <si>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</si>
  <si>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</si>
  <si>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</si>
  <si>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</si>
  <si>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</si>
  <si>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</si>
  <si>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</si>
  <si>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</si>
  <si>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</si>
  <si>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</si>
  <si>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e04o01m01</t>
  </si>
  <si>
    <t>e04o01m01-617</t>
  </si>
  <si>
    <t xml:space="preserve">Promoción  Social </t>
  </si>
  <si>
    <t>04</t>
  </si>
  <si>
    <t>01</t>
  </si>
  <si>
    <t xml:space="preserve">Formular e implementar la Política Pública de Innovación, Ciencia y Tecnología en Salud para el Distrito Capital, a 2016. </t>
  </si>
  <si>
    <t>% de avance de la Política formulada e implementada</t>
  </si>
  <si>
    <t xml:space="preserve">DISEÑO Y FORMULACIÓN DE LA POLÍTICA:  
*Política y Plan de CTI y Agenda de investigaciones: 
Se entrega el documento de “formación de política en ciencia, tecnología e innovación para la salud”, para primera revisión. Actualmente está en nuevos ajustes.
Se elabora documento para incluirlo en el boletín  semestral de investigaciones sobre el proceso de acompañamiento a  las ESE en investigaciones y la política de CTI para la salud.
Se realizan los ajustes al documento de “lineamientos de la Política de CTI para la salud.
Participación en el espacio de investigaciones habla, donde se realiza el cierre del primer ciclo, dedicado a investigaciones relacionadas con Sistemas, servicios y políticas de salud.
*Acompañamiento técnico a las ESE: 
Se participa con las ESE en la socialización que realiza Colciencias sobre la convocatoria  para proyectos de CTI en salud. 711- 2015. Se realiza la visita al hospital Usaquén para conocer los avances en investigaciones a partir del proceso desarrollado. Se desarrolla la reunión mensual con las ESE cuyo objetivo fue “Compartir elementos técnicos  que favorezcan el desarrollo de los procesos de  investigación en las Empresas Sociales del Estado”.
MOVILIZACIÓN DEL CONOCIMIENTO:
*Observatorio para la equidad en calidad de vida y salud de Bogotá - OECVS: 
Se avanzó en el proceso de consecución de los conferencistas para el ciclo de paneles y conversatorios que inician en el mes de julio y van hasta el mes de noviembre.
*Revista de investigaciones en seguridad social y Salud: 
A junio 31 de 2015, el volumen 1 del 2012 se encuentra en diagramación para ser publicado. Y se cuenta con 45 artículos, que se encuentra en los siguientes procesos: 
1. En Segunda Revisión del autor: Articulo No. 26: Accidentalidad vial por motocicletas en Bogotá, D.C. Un problema de Salud Pública, Articulo No. 34: “Obsolescencia del equipamiento biomédico con hospitales públicos de la Red Distrital de Salud, año 2010”.
2. En Tercera Revisión de los Autores:  Articulo No. 23: “Política Publica Distrital de Salud para la población desplazada por la violencia, “por la equidad, el reconocimiento y el goce efectivo del derecho a la salud de la población desplazada asentada en Bogotá 2008-2016”.
3. Arreglos sugeridos por el Revisor de Estilo y corregidos por el autor: Articulo No. 27: “Atenciones relacionadas con el consumo de sustancias psicoactivas, 2006 -2011”.
4. Se enviaron a Revisión de estilo los siguientes artículos: Articulo No 5: “Tomate el Control, prevención del consumo de alcohol en ámbitos universitario, una alternativa en Salud Pública, Articulo No. 6: Estado del arte de la investigación sobre equidad en salud en Bogotá, 2006-2010, Articulo No. 8: “Política Distrital de Salud para las poblaciones étnicas residentes en Bogotá”, Articulo No. 11: Condiciones de vida de la adultez, un reto para una vejez feliz”, Articulo No. 13: Programa innovador de rehabilitación integral para habitante de calle en condición de discapacidad mental crónica, Articulo No. 32: “Brote de varicela en un establecimiento carcelario de Bogotá, D.C. 2012”, Articulo No. 36:”Los factores que hacen diferente la política de innovación en los países: Caso de estudio Alemania, España y Polonia”, Articulo No. 38: “Factores asociados al bajo peso al nacer en hijos de adolescentes atendidas en los hospitales de la Red Publica 2010-2011”, Articulo No. 42: Entrevista a Julie Aultman. El lado oscuro de la investigación en seres humanos, Articulo No. 43: Metodología de costo- efectividad en la práctica clínica, Articulo No. 44: Reflexiones sobre la multiculturalidad, grupo étnicos, practicas terapéuticas y movimientos de reindigenación en Colombia, Articulo No. 45: Texto de reflexión sobre investigaciones habla. 
Con el fin de dar de cumplimiento a los propósitos de la Revista y lograr indexar la misma, se realizó un ajuste a los estudios previos y se va a hacer por la modalidad de Menor Cuantía, se cambió el nombre del objeto así: “Contratar la prestación de servicios para el fortalecimiento de la movilización del conocimiento en dos procesos: La Revista de Salud y Seguridad Social y apoyo a la realización del Segundo Congreso en Investigación en Salud”. Valor $ 236.807.000.
*Cooperación Nacional e Internacional: 
Se hizo seguimiento a la agenda de cooperación internacional, y se seleccionó la información relevante en materia de seminarios, talleres y convocatorias entre otras, relacionados con temas de salud para participación de la SDS y las ESE desde los 7 ejes de la agenda. 
Continuación en la organización de tres encuentros internacionales a desarrollar durante el 2015 denominados: 1. Sistemas de Salud Mundiales y Lecciones para Colombia. 2. Atención Primaria en Salud. Y 3. Seminario Internacional: Experiencias Regionales para la Garantía de la Salud Sexual y la Salud Reproductiva de las Mujeres.
Continuación en la asistencia y participación en reuniones para la preparación del Foro Internacional de Hospitales Verdes. Para ello se han generado reuniones con el grupo de la SDS y teleconferencia con la Oficina principal de la Red Latinoamericana de Salud sin Daño en Argentina para avanzar en organización y planificación del evento en el mes de septiembre. 
Apoyo en la realización de los estudios previos y en la minuta para la elaboración del convenio específico de cooperación con la OPS/OMS.
En el mes de Junio se hizo seguimiento a los siguientes procesos: 1) Se hizo seguimiento al convenio de cooperación firmado entre la Alcaldía Mayor de Bogotá y la Generalitat de Cataluña en temas de salud, para el mes de junio se reactivaron contactos para dar seguimiento al plan de trabajo y cooperar en temas de VIH, Infraestructura y calidad.
*Estrategia de Comunicaciones: 
En el mes de Junio, se continuó con el fortalecimiento de la estrategia de visibilización de los proceso de  Investigaciones por medio de 15 diapositivas promocionales.  Se realizó el quinto espacio de Investigaciones Habla  del 2015.  Se realizó el boletín llamado BK2 de junio. Publicación de los últimos libros de la biblioteca. Se avanzó en la elaboración de la tercera edición del boletín de investigaciones. Se avanzó en la primera entrega editada de los lineamientos 2015 de Investigaciones y Cooperación. Se envió a la oficina de comunicaciones el documento de las memorias del congreso para edición y diagramación. La oficina de Comunicaciones hizo entrega de 1000 afiches de divulgación con el logo de investigaciones Habla como apoyo  a la campaña de socialización.
*Portal del Conocimiento: 
La biblioteca da continuidad a la presentación de sus servicios el mes de Junio durante 19 días, cuenta con 32 puestos lectores, y con 7 terminales de cómputo para consulta de internet. Nuestro acervo bibliográfico actualmente está conformado por un total de 6663 volúmenes, y el recurso humano que brinda el servicio es dado por un profesional.
La atención de manera presencial fue dada en el mes de Junio a 887 usuarios entre ellos (estudiantes de secundaria, universitarios, investigadores y público en general), apoyándolos en las diferentes necesidades de información en el área de la salud, para ello se tienen en cuenta los siguientes ítems en este mes para un total de 125 préstamos, por préstamo externo  12 materiales y préstamo interno 113 materiales. 
En el mes se atendieron 385 consultas en computadores: Usuarios por permanencia  270 y Usuarios por referencia 57. Administración y responsabilidad del manejo Punto Vive Digital – PVD.
GESTIÓN DEL CONOCIMIENTO:
*Fortalecimiento de capacidades: 
Se continúa con el desarrollo la guía para el fortalecimiento de capacidades, se realizan capacitaciones y asesorías técnicas para los investigadores y grupos de investigación de la SDS y las ESE (actividad permanente).
Se entrega el plan del fortalecimiento de capacidades para la investigación de la SDS, en donde se incluyen capacitaciones presenciales y virtuales.
Se informa a los investigadores de las diferentes convocatorias para los grupos que existen en Colciencias relacionadas con el sector salud: Convocatorias 709, 711, 712, para poder captar recursos a través de la presentación de los proyectos de investigación. Se realiza la divulgación a través del e-mail institucional. 
*Grupos de investigación:  
Se continúa con este proceso para participar en las convocatorias de Colciencias para los grupos de investigación. Por sugerencia del grupo de investigación.
Se crea un listado de todos los grupos de investigación en el campo de Ciencias de la Salud de Bogotá, para mejorar las relaciones y los vínculos de cooperación entre estos. La idea es realizar convenios.
*Semilleros de investigación: 
Se elabora documento informativo sobre el semillero de Investigaciones de la SDS, para incluirlo en el boletín semestral de investigaciones.
Se avanza en la realización y ajuste del documento de acto administrativo para el funcionamiento del semillero, envió de este documento resolución de constitución del semillero al abogado de la Subsecretaria de planeación y gestión sectorial, para revisión y tramite con la Oficina jurídica de la SDS.
*Investigaciones para la salud: 
Se inicia la asesoría y gestión de los procesos de convocatoria para la presentación de proyectos de investigación acordes al plan de CTeI, para acceder a recursos de regalías. De acuerdo al proceso se avanza en la gestión de la convocatoria 001 de 2014 de regalías, desde la Secretaría de Planeación Distrital, en que se desarrollaron los siguientes procesos: 1.- El 19 de enero de 2015, se emite la Convocatoria 001 de 2014, para conformar portafolio de proyectos del D.C. en el marco del fondo de CTEI del sistema general de regalías. Vigencia presupuestal 2015-2016.  2.- Desde el grupo de investigaciones y cooperación se envían correos masivos (Academia, Instituciones, ESE, etc.) para el conocimiento de la convocatoria.  3. -Se compilan, 38 fichas diligenciadas de proyectos para conformación de portafolio y se radican a Planeación Distrital el 6 de febrero de 2015. 4.- En el mes de mayo son llamados a sustentación 17 proyectos de investigación para cumplimiento de la convocatoria 001 de 2014, para acceder a recursos de regalías. 5.- En el mes de junio no se ha recibido respuesta positiva de cuales proyectos pasaron a la convocatoria.  
*Innovación:
En relación con el proyecto de innovación social a desarrollar con el Hospital Pablo VI Bosa, seguimiento a los requerimientos de documentación y del proyecto. Gestión con la subdirección de investigaciones del Instituto Nacional de Cancerología para visita de referenciación en compañía de profesionales delegados de las Empresas Sociales del Estado de la red adscrita.
*Comité de Ética para la Investigación en Salud- CEIS: 
Se avanzó en la realización de las actividades de formación de la Red Distrital de Comités de Ética para la Investigación en Salud en Bogotá.
 *Comité Técnico de Investigaciones: 
Se realiza revisión de la nueva resolución para el Comité de Investigaciones de la Secretaria de Salud, debido a que surtió la reestructuración. La nueva resolución reemplazaría la resolución 0454 de 2014. Actualmente, se encuentra en revisión por el abogado de la Dirección de Planeación Sectorial. 
</t>
  </si>
  <si>
    <t xml:space="preserve">DISEÑO Y FORMULACIÓN DE LA POLÍTICA:
*Política y Plan de CTI y Agenda de investigaciones: Documento consolidado, que da cuenta del contenido de los principales ejes temáticos de la agenda de investigaciones para la salud, se logra colocar las necesidades de investigación para la salud como parte de los temas prioritarios a nivel distrital para ser objetos de financiación a través de las becas para doctorado “Rodolfo Llinás”. Se logra el análisis de información que sustente y oriente la importancia de la definición y actualización de la agenda temática de investigaciones para la salud,  a nivel del distrito que permita tomar decisiones en investigaciones que aporte  a mejor las condiciones de salud de la población. Se cuenta con la documentación que contribuya a dar soporte a los diferentes procesos que se desarrollan en el marco de  ciencia, tecnología e innovación para la salud.
*Acompañamiento técnico a las ESE: Se cuenta con una propuesta de trabajo para el 2015, que continúa contribuyendo a la consolidación del proceso de investigaciones y cooperación en las ESE y con los planes de trabajo en el proceso de investigaciones de los hospitales asistentes de Victoria, Simón Bolívar y Meissen. Se logra el fortalecimiento de capacidades del talento humano de las ESE, que tienen cargo el proceso de investigaciones, con el fin de incidir en el fortalecimiento de la institucionalidad. Proporcionar herramientas técnicas  y de gestión, al talento humano de las ESE, que tienen a cargo el proceso de investigaciones, con el fin de contribuir al  fortalecimiento de la institucionalidad en investigaciones.
MOVILIZACIÓN DEL CONOCIMIENTO:
*Observatorio para la equidad en calidad de vida y salud de Bogotá – OECVS:
Elaboración de los siguientes documentos sobre el Observatorio: Lineamientos y síntesis del proceso 2006-2014, (33 páginas). Documento Informe del Observatorio, (10 páginas). Borrador propuesta de foro “Hospitales Constructores de Paz”. Presentación del diseño conceptual y metodológico del Observatorio para la Salud y la Paz (28 diapositivas). Borrador de la propuesta del Boletín sobre el Derecho a la Salud y Víctimas en Bogotá. Documento Estudios Previos Convenio Especial de Cooperación de Ciencia, Tecnología e Innovación, cuyo objeto es: “Aunar esfuerzos para estimar la carga de enfermedad para Bogotá D.C., en el periodo 2010 – 2014, usando como indicadores los Años de Vida Ajustados por Discapacidad (AVISA), por muerte prematura (AVPM) y los años vividos con discapacidad (AVD) e identificar las prioridades de salud en Bogotá, Distrito Capital”. Documento Resolución por la cual se conforman el Comité Coordinador y la Unidad Técnica de Apoyo del Observatorio para la equidad en calidad de vida y salud de Bogotá, (5 páginas). Documento Proyecto de Decreto Reglamentario del Acuerdo 364 de 2009, que crea el Grupo Técnico Intersectorial del Observatorio y la Mesa Distrital para la Equidad en Calidad de Vida, Ambiente y Salud de Bogotá, (9 páginas).Documento Exposición de motivos técnico jurídicos y de conveniencia del Proyecto de Decreto del Observatorio, (13 páginas). Presentación del diseño conceptual y metodológico del Observatorio para la Salud y la Paz (28 diapositivas). Formato Plan de Trabajo Convenio de Cooperación entre la SDS y la Organización Panamericana de la Salud (OPS), 2015-2016. Se logró la aprobación por parte de la Oficina Asesora Jurídica del Proyecto de Decreto del Observatorio y la Exposición  de motivos técnico jurídicos y de conveniencia del mismo. Se logró avanzar en la elaboración del Documento determinantes Sociales de la Salud, Bogotá 2015. Se logró consolidar la programación de paneles y conversatorios del periodo julio-noviembre.
*Revista de investigaciones en seguridad social y Salud: 
El volumen 1 del 2012 se encuentra en diagramación para ser publicado, se cuenta con 45 artículos para la Revista de Investigaciones en Seguridad Social y Salud. El proceso continúa en varias etapas, segunda y tercera revisión y Revisión de estilo y diagramación, ya se hizo un plan de acción para la publicación de los artículos, así mismo se Terminaron las editoriales y se está trabajando en los ajustes sugeridos por la editora de la Revista.
Se establecieron arreglos sugeridos por el Revisor de Estilo y corregidos por el autor: Articulo No. 27: “Atenciones relacionadas con el consumo de sustancias psicoactivas, 2006 -2011” y se enviaron a Revisión de estilo los siguientes artículos: Articulo No 5: “Tomate el Control, prevención del consumo de alcohol en ámbitos universitario, una alternativa en Salud Pública, Articulo No. 6: Estado del arte de la investigación sobre equidad en salud en Bogotá, 2006-2010, Articulo No. 8: “Política Distrital de Salud para las poblaciones étnicas residentes en Bogotá”, Articulo No. 11: Condiciones de vida de la adultez, un reto para una vejez feliz”, Articulo No. 13: Programa innovador de rehabilitación integral para habitante de calle en condición de discapacidad mental crónica, Articulo No. 32: “Brote de varicela en un establecimiento carcelario de Bogotá, D.C. 2012”, Articulo No. 36:”Los factores que hacen diferente la política de innovación en los países: Caso de estudio Alemania, España y Polonia”, Articulo No. 38: “Factores asociados al bajo peso al nacer en hijos de adolescentes atendidas en los hospitales de la Red Publica 2010-2011”, Articulo No. 42: Entrevista a Julie Aultman. El lado oscuro de la investigación en seres humanos, Articulo No. 43: Metodología de costo- efectividad en la práctica clínica, Articulo No. 44: Reflexiones sobre la multiculturalidad, grupo étnicos, practicas terapéuticas y movimientos de reindigenación en Colombia y Articulo No. 45: Texto de reflexión sobre investigaciones habla. 
*Cooperación Nacional e Internacional: 
Se culminó con éxito: a) el acompañamiento a la visita de la empresa española Dentix, Invest in Bogotá y Procolombia, la cual estaba interesada en conocer el proceso de habilitación de servicios dados por el Distrito. b) la teleconferencia para el proceso de referenciación comparativa con el Centro Regulador de Urgencias y Emergencias de Barcelona. c) el proceso de presentación a la convocatoria del Fondo Noruego-Sueco de Cooperación el proyecto de la Dirección de Participación y Atención al Ciudadano de la SDS en salud y deporte en jóvenes y adolescentes ‘Escuelas de Futbol, Semillas de Goles para la Paz’ para presentar a financiación de gobierno sueco. d) la preparación de la agenda de trabajo, la ficha técnica y demás asuntos académicos y logísticos para la visita de la Agencia de Cooperación Alemana –GIZ- para conocer el Hemocentro Distrital. e) la preparación la agenda de trabajo, la ficha técnica y demás asuntos académicos y logísticos para la visita de la Embajada Belga para conocer el manejo de residuos hospitalarios desde la experiencia del distrito. f) la preparación la agenda de trabajo, la ficha técnica y demás asuntos académicos y logísticos para la visita de la Embajada Cubana para identificar líneas de cooperación y visitar el Hemocentro Distrital, el Laboratorio de Salud Pública y el CRUE y g) la teleconferencia para el intercambio de conocimientos con la municipalidad de Santiago de Chile sobre historia clínica electrónica. Se firmó el convenio marco de cooperación entre la SDS y la Organización Panamericana de la Salud.
En el mes de marzo se culminó con éxito: 1) la coordinación, la preparación de la agenda de trabajo, la ficha técnica y demás asuntos académicos y logísticos para la visita de referenciación del Ministerio de Salud de Chile, en alianza con la OPS/OMS a la SDS para intercambio de experiencias en el tema de PAI, 2) la visita de referenciación del Instituto del Trauma de Costa Rica, a la SDS para intercambio de experiencias en el tema de banco de tejidos y visita al Hospital Simón Bolivar- unidad de quemados, 3) el documento ’agenda de cooperación’ con la Embajada de Cuba en donde se estableció cronograma tentativo de actividades, proceso de articulación, áreas de cooperación y responsables entre otros para empezar a implementarlo con el gobierno cubano y 4) la coordinación y recibimiento en la ESE Simón Bolivar para la visita técnica para la referenciación con comisión del Ministerio de Salud de Costa Rica en el tema de banco de Tejidos y pabellón del quemados del Hospital.
En el mes de Abril se culminó con éxito: 1) la coordinación, la preparación de la agenda de trabajo, la ficha técnica y demás asuntos académicos y logísticos. 2) la coordinación, asistencia y participación en reunión con la Embajadora de Suecia para trabajar y revisar sobre el proyecto de cooperación que actualmente se desarrolla en conjunto con el gobierno Sueco sobre la nueva torre de la ESE Simón Bolívar y explorar nuevas posibilidades para continuar la cooperación con dicho país. 3) la coordinación, asistencia y participación en reunión con Open Society Foundations para aunar esfuerzos y desarrollar protocolos de investigación para el uso terapéutico de la marihuana. 4) el proceso de planificación, coordinación, asistencia y participación en teleconferencia con ICLEI para intercambio de conocimientos en temas de salud ambiental.  5) la planificación, coordinación, asistencia y participación en jornada de trabajo con equipo de la SDS y la Organización Panamericana de la Salud para visita a campo en la zona del Bronx para revisar el tema de drogodependencia, CAMAD, Habitante de Calle e integración social entre otras.  6)  el proceso con la ESE Simón Bolívar y la Embajada Sueca para el estudio de viabilidad de la nueva torre del Hospital.
En el mes de Mayo se culminó con éxito: 1) Se terminó con éxito la preparación, asistencia y participación en jornada de trabajo con los expertos internacionales invitados al Foro de Desarrollo Hospitalario para conocer buenas prácticas de la SDS y conocer a profundidad experiencias internacionales en tema hospitalario. 2) Se culminó con éxito la preparación y desarrollo (rueda de prensa, participación de expertos internacionales y nacionales, agenda académica y logística desarrollada en su totalidad) del Foro Internacional Desarrollo Hospitalario en Grandes Ciudades, el cual fue llevado a cabo el 13 y 14 de mayo. 3) Se llevó a cabo satisfactoriamente la preparación, asistencia, participación y traducción de la teleconferencia con el Hospital de la Charité en Berlin para la cooperación técnica en uso de nuevas tecnologías en las Unidades de Cuidados Intensivos. 
En el mes de Junio se culminó con éxito: 1) La preparación y desarrollo (rueda de prensa, participación de expertos internacionales y nacionales, agenda académica y logística desarrollada en su totalidad) del Foro Internacional ‘Semana Psicoactiva 2015. Desarrollada del 23 al 26 de junio. 2) La planificación, elaboración de agenda y coordinaciones respectivas con los equipos de la SDS, Ministerio de Salud y Hospital de Fontibón para la visita del Hospital Carlos III de Madrid con el objetivo de hacer una referenciación en tratamiento a pacientes y otros procedimientos en casos de ebola (visita a hospital para revisión de proceso e infraestructura, capacitación en postura y retiro de elementos de protección personal y manejo de cadáveres). Esta visita fue culminada con éxito. 3) La coordinación, preparación de agenda y desarrollo de la misma para visita de la delegación del Perú para conocer buenas prácticas institucionales de la SDS. 4) La coordinación dentro de la SDS y con la DDRI para la presentación del programa Territorios Saludables y el rol de las TIC en el IV Comité Sectorial de Nuevas Tecnologías y jornadas iberoamericanas sobre la aplicación de las nuevas tecnologías en la administración pública y la apropiación social de las TIC de la Unión de Ciudades Capitales Iberoamericanas –UCCI-.
*Estrategia de Comunicaciones:
Se cuenta con la proyección de estrategia de comunicaciones para la SDS 2015. Se cuenta con la segunda edición del documento de sistematización del espacio de Investigaciones Habla 2014 y a su vez se encuentra en la página web de la SDS. Se publicó cada mes el BK2 boletín Digital de investigaciones y cooperación de los meses de enero a junio.  Se logró un espacio en el Facebook oficial de la SDS y se está publicando eventos por este medio. Se cuenta con el documento de memorias del 1er Congreso de Investigaciones terminado y en diagramación. Se cuenta con  1000 afiches de divulgación con el logo de investigaciones Habla. Se realizó cinco  Investigaciones Habla 2015 denominados:  1) “Agenda temática priorizada en CTI para la salud y presentación de los resultados de la investigación del “Estado del arte de las investigaciones en salud, calidad de vida y enfermedad, realizadas en Bogotá, D.C., durante el periodo 2010 – 2014”, 2) “Sistemas, Servicios y Políticas de Salud y Resultados de la Investigación "La coordinación asistencial en redes de servicios de salud: un  estudio de caso en Bogotá y Soacha", 3) “Sistemas, Servicios y Políticas de Salud y Resultados de la Investigación   "Comprensión e Implementación de la promoción de la Salud en Instituciones de Educación Superior en Colombia", 4)  “Resultados  del trabajo  denominado por "Perfil epidemiológico de la infección genital por Virus del Papiloma Humano en pacientes con diagnóstico citológico de AS-CUS del Hospital  Engativa" " La coordinación asistencial en redes de servicios de salud: un  estudio de caso en Bogotá y Soacha", se realizó el Foro “Desarrollo Hospitalario en grandes ciudades” y 5) “Sistemas, Servicios y Políticas de Salud y  Resultados  “Estudio de diseño para la aplicación y desarrollo de la estrategia hospital saludable en Colombia, año 2013”y  Análisis de la Política de Salud Oral de Bogotá: Fase de formulación – 2011”.
*Portal del Conocimiento:
Los siguientes resultados del portal del conocimiento presentan el acumulado de enero a junio del presente año. La atención de manera presencial fue dada en el mes de junio a 887 para un total acumulado de 4110 usuarios. En cuanto al préstamo del material bibliográfico se han atendido: Préstamo externo: en Junio 12 para un acumulado de 85 usuarios, Préstamo interno: en Junio  113 para un acumulado de 515 usuarios, para un total de 125 préstamos en Junio y acumulado de 600 préstamos de libros.
En el mes se atendieron 377  consultas de computadores dando un acumulado de 1701. Usuarios por permanencia en el mes de junio 328 generando un acumulado de 1454 y Usuarios por referencia en el mes de junio 57 generando un acumulado de 426.
Los siguientes resultados del Punto Vive Digital presentan en el mes de junio 128, para un acumulado de 440 usuarios atendidos.
GESTIÓN DEL CONOCIMIENTO:
*Fortalecimiento de capacidades: Mediante la realización de las dos jornadas de capacitación para los investigadores y líderes de los grupos de investigación de la SDS y las ESE, se observa mayor manejo de las herramientas de las plataformas de Colciencias e integración con eficiencias los productos generados por los investigadores. Fortalecimiento a 20 investigadores pertenecientes al grupo de investigación, en temas relacionado con la ciencia e investigación para la salud y la reingeniería de grupos. Conocimiento de los investigadores de las diferentes convocatorias que se encuentran en apertura para los grupos de investigación. Se logra actualizar el documento de trabajo sobre los ítems relacionados con gestión del conocimiento.
*Grupos de investigación: 
Se logró brindar capacitación individual a los líderes de 3 hospitales y se les ayudo en el proceso de creación de los grupos de investigación en su entidad. Se logró unir esfuerzo con el grupo de investigadores de subdirección de salud pública para la creación o sección de un grupo de investigación. Se realizaron dos jornadas de capacitación para los investigadores de la SDS y las ESE, se capacitaron 18 investigadores. Se obtiene una capacitación por parte de Colciencias para los investigadores de la SDS y las ESE en lo relacionado con estructuración de proyectos para presentación al fondo de regalías. Se gestionaron dos conferencias con ayuda de la Subdirección de salud pública para los investigadores de la SDS. Se continúa el trabajo para la obtención de mejor integración de los Grupos de investigación entre Empresa (Privado), SDS y el Sector educativo.  Se logró la clasificación y el reconocimiento del Grupo de investigación de la SDS, permitiendo acceder a las convocatorias. Se logra difundir las diferentes convocatorias para los ESES y la SDS para la participación en los proyectos de investigación ante Colciencias. Motivación por parte del personal de la SDS, que siguen vinculándose al grupo de investigación. Se logra difundir las diferentes convocatorias para los ESES y la SDS para la participación en los proyectos de investigación ante Colciencias, convocatorias, 711,709 etc. Se realizan asesorías técnicas a los miembros de los diferentes grupos de investigación de la SDS y las ESE. Capacitación a investigadores sobre el manejo de la plataforma en Colciencias relacionadas con el CVlac.
*Semilleros de investigación:
Se cuenta con un plan de acción 2015, en el que se realizara 1) la Identificación del avance de los semilleros de la SDS. 2) Conocer experiencias de diferentes instituciones que cuenten con semilleros de investigación. 3) Promover actividades de capacitación a las semillas en temas de su interés. 4) Difundir los logros y avances del Semillero en distintos medios.
De acuerdo a la nueva estructura de la SDS, se cuenta con el ajuste al nuevo formato de resolución establecido por la SDS, para tramitar la resolución de constitución del semillero con la Dirección de jurídica. Se cuenta con el documento informativo sobre el semillero de Investigaciones de la SDS, para incluirlo en el boletín semestral de investigaciones.
*Investigaciones para la salud:
En el diligenciamiento de la “TABLA MAESTRA A SEGUIMIENTO A LAS INVESTIGACIONES”, de las Empresas Sociales del Estado (ESE) y la Secretaria Distrital de Salud (SDS), en un acumulado del mes de marzo se logran identificar 148 investigaciones. 
En las ESE se identificaron 95 investigaciones y los hospitales que las reportan son 13 a saber: Simón Bolívar, El Tunal, Engativá, Vista Hermosa, Centro Oriente, Fontibón, La Victoria, Nazaret, Usaquén, Kennedy, Del Sur, Tunjuelito y Pablo VI –Bosa. Teniendo en cuenta que se identifica el estado de las investigaciones en la SECRETARIA DISTRITAL DE SALUD (SDS) ingresadas a la “Tabla maestra de seguimiento a investigaciones”, para el periodo 2012 a 2014, solicitado por la Subsecretaría de Planeación y Gestión sectorial, clasificadas en iniciativas de investigación, investigaciones en desarrollo e investigaciones terminadas o ejecutadas, el resultado acumulado para el mes de febrero de 2015 es que el 49% (n=26) de las investigaciones se encuentran en iniciativas de investigación; el 23% (n=12) en desarrollo y terminadas o ejecutadas en el 28% (n=15). Actualmente se siguen recibiendo listado de investigaciones que las ESE envían de acuerdo a solicitud expresa por el grupo de investigaciones y cooperación. Este listado es imprescindible, necesario para diligenciamiento de tabla maestra interactiva.
En la lista de investigaciones se encuentran 4 proyectos que accederán a recursos de regalías de los cuales uno (1) se encuentra en desarrollo, “Diseño e Implementación del  Banco Distrital de Células Madre de Cordón Umbilical BSCU” y dos (2) en iniciativas de investigación, los cuales se encuentran en trámites administrativos como la “ Implementación de la plataforma científica y tecnológica para la obtención de Fito medicamentos antitumorales con estándares internacionales Bogotá D.C.”;  “Enfermedad de Alzheimer y deterioro cognitivo en la zona cuarta de Bogotá: Estudios clínicos-ambientales, genómicos, epignéticos y de genomas personales” y una (1) que es la “ Creación de un registro nacional de donantes de células progenitoras hematopoyéticas en Colombia - Fase de Pre factibilidad”, que fue aceptada en el mes de noviembre del 2014.  
*Innovación:
Los dos proyectos con un enfoque de innovación social, presentados ante la Secretaria Distrital de Planeación, pasaron el primer filtro y fueron seleccionados para hacer la presentación y sustentación correspondiente. Aprobación por parte de la Facultad de Ciencias de la Salud de la Corporación Universitaria Iberoamericana para el desarrollo de una investigación con una Empresa Social del Estado de la red pública adscrita.  Se logra aceptación en primera instancia del Hospital Pablo VI Bosa para el posible desarrollo del proyecto sobre innovación social, previa aprobación de sus comités de ética y de investigaciones.
Se logra agendar con directores de centros de investigación o desarrollo tecnológico reconocidos por Colciencias para visitas de referenciación. Se logra consensuar con la Corporación Universitaria Iberoamericana, la propuesta preliminar del proyecto de investigación sobre Innovación Social, que se espera permita desarrollar el modelo para el diagnóstico de capacidades y/o el diagnóstico de política pública del Distrito Capital. Se logra respuesta afirmativa para visita de referenciación por parte del Instituto de Telemedicina de la Universidad Nacional y por parte del Instituto de Genética ubicado también en la Universidad Nacional.
Se logra terminar las dos propuestas de proyectos para optar por recursos de regalías, enfocadas en innovación social.
Se cuenta con el plan de acción para el componente de innovación vigencia 2015. Se cuenta con la propuesta preliminar del proyecto titulado “Estudio de Iniciativas y capacidades en Innovación Social (IS) en los entornos de gobierno y comunidad de las E.S.E de la red pública adscrita y la Secretaría Distrital de Salud”, consolidada en el formato propuesto por la Secretaría de Planeación Distrital.
Se cuenta con la propuesta preliminar del proyecto sobre medicamentos, consolidada en el formato que demanda la Secretaría de Planeación Distrital, el cual se enmarca en la línea de Innovación social para la gestión de lo público e Innovación en modelos educativos. Los dos proyectos sobre innovación social radicados ante la Dirección de Políticas Sectoriales de la Secretaría Distrital de Planeación, fueron presentados y sustentados acorde con la citación y lineamiento dado por ellos.
Presentación mediante carta de intención al Hospital Pablo VI Bosa, la propuesta de proyecto de investigación sobre innovación social para desarrollo conjunto con la Corporación Universitaria Iberoamericana. Se logró agendar para el periodo, a directores de las subdirecciones de investigaciones y la de innovación del Instituto Nacional de Salud, para encuentro de referenciación.
Ajuste al proyecto dada la nueva solitud de la oficina de gestión del conocimiento del Hospital Pablo VI Bosa, así como de la documentación requerida para la sustentación ante el comité de ética de la ESE. Acuerdo de visita de referenciación para el 11 de junio del año en curso.
*Comité de Ética para la Investigación en Salud:
Se ha logrado consensuar entre los integrantes de los CEIS de las ESE la propuesta de conformar la Red Distrital de CEIS. Se ha logrado finalizar los siguientes Documento: 1) Documento Resolución por la cual se reestructura el CEIS, (8 páginas). 2) Documento Resolución Por la cual se constituye la Red de Comités de Ética para la Investigación en Salud en el Distrito Capital (7 páginas). 3) Documento Informe del Comité de Ética para la Investigación en Salud, (10 páginas).  4) Ficha Sistematización de experiencias significativas de ciudad: Red Distrital de Comités de Ética para la Investigación en Salud (11 Páginas) y 5) Formato Plan de Trabajo Convenio de Cooperación entre la SDS y la Organización Panamericana de la Salud (OPS), 2015-2016.
Redacción de considerandos técnicos para la exposición de motivos y observaciones críticas a la propuesta de decreto “Por el cual se reglamenta la creación de Centros Regulados para el uso terapéutico de la marihuana y se dictan otras disposiciones”. Se ha logrado posicionar al Comité de ética para la investigación en salud de la SDS como una instancia relevante para la convocatoria y la discusión en ética en investigación en la ciudad de Bogotá.
Se ha logrado posicionar al Comité de ética para la investigación en salud de la SDS como una instancia relevante para la convocatoria y la discusión en ética en investigación en la ciudad. En la reunión de la RED-CEIS-BOGOTÁ, asistieron 80 personas provenientes de Comités de ética en investigación y ética hospitalaria.
*Comité técnico de Investigaciones: 
Se logró la consolidación del informe con los análisis de los integrantes del Comité, para la evaluación de 3 investigaciones: 1) “Estudio descriptivo de eventos adversos post- aplicación de vacuna contra el virus del papiloma humano en Bogotá D.C”, 2) “Medición de la transferencia de anticuerpos de la gestante vacunada con DTP a celular al hijo y de su persistencia hasta el inicio de la vacunación con DPT acelular en Bogotá, Colombia año 2014”. 3) “Tiempos de respuesta del sistema pre hospitalario en pacientes con sospecha diagnóstica de ataque cerebral en Bogotá durante 2012”. Se identificaron investigaciones que pasaron por los comités de investigaciones  en el año 2014. Para el periodo se revisan las investigaciones que cumplan con los requisitos de la ruta de investigaciones para continuar desarrollo de las mismas. Se identificaron investigaciones que pasaron por los comités de investigaciones en el año 2014. Para el periodo se revisan las investigaciones que cumplan con los requisitos de la ruta de investigaciones para continuar desarrollo de las mismas.
</t>
  </si>
  <si>
    <t xml:space="preserve">DISEÑO Y FORMULACIÓN DE LA POLÍTICA:
*Acompañamiento técnico a las ESE: Planes de trabajo de los proceso de investigaciones de los hospitales asistentes la Tunal, Pablo VI bosa, Sur, Centro Oriente. 
MOVILIZACIÓN DEL CONOCIMIENTO:
*Observatorio para la equidad en calidad de vida y salud de Bogotá - OECVS: Estructura técnica, investigativa y operativa del Observatorio. Lineamientos del proceso 2006-2014, Documento cronograma de conversatorios Equidad, Salud y Paz, junio – noviembre de 2015, Documento Determinantes Sociales de la Salud en Bogotá (14 páginas). Documento ajustado para los conversatorios Equidad, Salud y Paz, junio – noviembre de 2015 y Relatoría panel No 1: “Tendencias de organización y prestación de servicios” (6 páginas).
*Revista de investigaciones en seguridad social y Salud: El proceso continúa en varias etapas, segunda y tercera revisión y Revisión de estilo y diagramación, ya se hizo un plan de acción para la publicación de los artículos, así mismo se Terminaron las editoriales y se está trabajando en los ajustes sugeridos por la editora de la Revista. El volumen 1 del 2012 se encuentra en diagramación para ser publicado.
*Cooperación Nacional e Internacional:
La agenda de cooperación al día. Fortalecimiento de relaciones con otras entidades del distrito (Alcaldía Mayor), con embajadas y otros agentes cooperantes. Beneficiando de esta manera el trabajo multidisciplinar, mejorando la comunicación interinstitucional, continuación en la búsqueda de recursos para la financiación de proyectos e intercambiando conocimiento para mejorar el quehacer de la SDS, así mismo, se fortalece el proceso de internacionalización de la ciudad. 
*Estrategia de Comunicaciones:
Cronograma y temas definidos para el espacio de debate, análisis y encuentro Investigaciones Habla. Diseñó y difusión de 105 diapositivas promocionales de los eventos del grupo, 6 Boletín BK2 de Investigaciones y Cooperación publicado cada mes de enero a mayo, publicado y en la página web de la SDS. Se cuenta con la segunda edición del documento de sistematización Investigaciones Habla 2014. Realización de cinco Investigaciones Habla del 2015. Socialización de eventos en Facebook. Realización Foro “Desarrollo Hospitalario en grandes ciudades”. Documento de memorias del 1er Congreso de Investigaciones terminado y en diagramación. Se cuenta con mil (1000) afiches de divulgación con el logo de investigaciones Habla.
*Portal del Conocimiento:
Promover la difusión de los conocimientos producidos en la Secretaría como resultado de las investigaciones y los informes producidos a nivel técnico, investigativo y administrativo. Participar en la construcción de la memoria bibliográfica institucional y conocer el avance documental externo.  Con el fin de cumplir con el propósito que tiene el portal del conocimiento, se lleva atendido 4110 usuarios, que fueron beneficiados con la labor del portal del conocimiento por medio de la generación y facilitación del suministro de servicios de información, a nuestros usuarios: todos los colaboradores y colaboradoras de la secretaría de Salud y las Empresas sociales del Estado. Estudiantes, profesores en investigadores de otras instituciones públicas o privadas y el público en general. Con el fin de facilitar el ejercicio de la investigación y servir de apoyo a los procesos laborales de enseñanza y aprendizaje a los diferentes usuarios, por medio de la difusión de los conocimientos producidos en al SDS y ESE.
GESTIÓN DEL CONOCIMIENTO:
*Fortalecimiento de capacidades: Fortalecimiento de 20 investigadores pertenecientes al grupo de investigación en temas relacionados con reingeniería y con el proceso de ciencia e investigación para la salud. Capacitación a investigadores sobre el manejo de la plataforma en Colciencias relacionadas con el CVlac. Se logra tener el borrador preliminar sobre el programa de fortalecimiento de capacidades. Conocimiento de los investigadores de las diferentes convocatorias que se encuentran en apertura para los grupos de investigación. Se cuenta con el programa de fortalecimiento de capacidades para la investigación.  
*Grupos de investigación: Mayor conocimiento de los tres (3) grupos avalados para que puedan participar en la nueva medición de grupos de Colciencias vigencia 2014- 2015, de las herramientas y actividades que deben realizar con miras a la Medición de Grupos.  Alianzas estratégicas de los Grupos de investigación entre Empresa (Privado), SDS y el Sector educativo.  Se cuenta con el reconocimiento y clasificación del grupo de investigación ante- Categoría C Colciencias (convocatoria 693/2014), frente al anuncio de los resultados finales.
*Semilleros de investigación:
Lineamientos de constitución del semillero. Plan de acción 2015. Documento informativo sobre el semillero de Investigaciones de la SDS, para incluirlo en el boletín semestral de investigaciones.
*Investigaciones para la salud:
En el marco del Convenio 1803 -2013, suscrito entre la SDS y la Universidad de San Buenaventura, Bogotá, cuyo objetivo fue “Desarrollar estudio que permita identificar, caracterizar, y analizar las investigaciones realizadas en Bogotá, D.C., en el campo de la salud, la calidad de vida y la enfermedad, durante el periodo de 2010 en adelante”, se tiene la base de datos y documentos generados, los cuales son relevantes para identificar investigaciones para la salud realizadas desde el año 2010.
En el curso de fortalecimiento de capacidades, en el marco del  Convenio 1426 del 2013 suscrito entre la SDS y la Fundación Universitaria de Ciencias de la salud (FUCS), se dio origen a 30 (treinta)  investigaciones entre funcionarios investigadores de  la Secretaría Distrital de Salud y las Empresas Sociales del Estado- ESE.   Las investigaciones son el insumo básico necesario para tener como resultado investigaciones para la salud a realizarse.  Se hace un pedido por $ 1.000.000 (mil millones de pesos), para ejecutarlas. Mas sin embargo a la fecha no conocemos la cifra real de aporte para desarrollo de las investigaciones. 
En el mes de abril, se abre la convocatoria 711 y 712 de 2015 de Colciencias para acceder a recursos para investigación.  De acuerdo a lo anterior en el mes de Junio el Hospital Engativá y el Hospital Nazareth solicitan sean evaluados 2 proyectos en los comité de ética y comité de investigaciones, conceptos solicitados por Colciencias para presentarse a la convocatoria.  El proyecto del Hospital Engativá es “Descripción de la situación biopsicosocial actual de mujeres que fueron madres adolescentes y cuyo parto fue atendido en el hospital Engativá durante el año 2010.”, y el proyecto, del Hospital Nazareth es “Impacto sobre la función neurológica de escolares por la exposición a plaguicidas en la localidad de Sumapaz”.
*Innovación: 
Dos proyectos con enfoque de innovación social, presentados ante la Secretaria Distrital de Planeación, seleccionados para hacer la presentación y sustentación correspondiente. Aprobación en la Facultad de Ciencias de la Salud de la Corporación Universitaria Iberoamericana para desarrollo de investigación con una Empresa Social del Estado de la red pública adscrita.  Aceptación del Hospital Pablo VI Bosa para desarrollo del proyecto sobre innovación social, solicito y se le envió la documentación requerida. Tres visitas de referenciación realizadas a centros de investigación o desarrollo tecnológico reconocidos por Colciencias: al Centro de Telemedicina, Instituto de Genética e Instituto de Desarrollo Humano (dis) capacidades y diversidades.
Propuesta preliminar titulada “Estudio de capacidades de Innovación Social para la Salud”, como piloto para aplicar en una Empresa Social del Estado de la red adscrita.
Dos proyectos con un enfoque de innovación social para salud, presentados en formato de perfil de proyecto de inversión en CT e I ante la Secretaría de Planeación Distrital, para optar por recursos de regalías.
Perfiles de los proyectos propuestos en líneas de innovación, consolidados en el formato que requiere la Secretaría de Planeación Distrital, los cuales pretenden optar por regalías para su cofinanciación en el desarrollo. Presentación y sustentación ante la Dirección de Políticas Sectoriales de la Secretaría de Planeación Distrital de dos proyectos sobre innovación social que pasaron el primer filtro para optar por recursos de regalías. Documentación ajustada y enviada acorde con requerimiento del Hospital Pablo VI Bosa para desarrollo de un proyecto sobre innovación social, acorde con las observaciones y requerimientos hechos. Visita de referenciación al Instituto Nacional de Salud – subdirección de investigaciones e innovación.
Presentación y sustentación ante el comité de ética del Hospital Pablo VI Bosa, del proyecto titulado “Estudio de las iniciativas y capacidades en Innovación Social en una E.S.E. adscrita a la Red Pública del Distrito" a desarrollar de manera conjunta con la Corporación Universitaria Iberoamericana. Visita de referenciación a la subdirección de investigaciones del Instituto Nacional de Cancerología con la participación de colaboradores de los Hospitales de la Victoria, Hospital Vista Hermosa, Hospital Rafael Uribe y  Hospital el Tunal.
*Comité de Ética para la Investigación en Salud: Lineamientos de los procesos y desarrollos del CEIS, periodo 2009-Diciembre de 2014. Ficha para la sistematización de experiencias significativas de ciudad: Red Distrital de Comités de Ética de Investigación en Salud, 11 páginas. Resolución por la cual se reestructura el CEIS aprobada por la Oficina Asesora Jurídica. Resolución Por la cual se constituye la Red Distrital de Comités de Ética para la Investigación en Salud aprobada por la Oficina Asesora Jurídica. Presentación de la Resolución de la Red CEIS, (24 diapositivas). Estrategia didáctica para el Debate de la Eutanasia en Colombia.
Presentación en Power Point de la exposición “Ética en la priorización en la investigación en salud y consideraciones sobre poblaciones vulnerables”, presentada en la reunión de la RED_CEIS_BOGOTÁ, del 18 de junio de 2015. Estrategia didáctica para el abordaje de los dos conversatorios.  Relatoría panel No 1: “Tendencias de organización y prestación de servicios” (6 páginas).
*Comité técnico de Investigaciones:
Informe aval de 3 investigaciones: 1) “Estudio descriptivo de eventos adversos post- aplicación de vacuna contra el virus del papiloma humano en Bogotá D.C”, 2) “Medición de la transferencia de anticuerpos de la gestante vacunada con DTP a celular al hijo y de su persistencia hasta el inicio de la vacunación con DPT acelular en Bogotá, Colombia año 2014”. 3) “Tiempos de respuesta del sistema pre hospitalario en pacientes con sospecha diagnóstica de ataque cerebral en Bogotá durante 2012”. Se tiene listado de investigaciones que deben pasar por el comité de investigaciones y comité de ética.
</t>
  </si>
  <si>
    <t xml:space="preserve">MOVILIZACIÓN DEL CONOCIMIENTO:
*Observatorio para la equidad en calidad de vida y salud de Bogotá - OECVS: La principal dificultad es que no se han firmado la Resolución y el proyecto de Decreto reglamentario del Observatorio.
*Revista de investigaciones en seguridad social y Salud:
Para dar celeridad a la publicación de los números que hacen falta es importante que el corrector de estilo revise todos los artículos y los envié para su diagramación. Solución: Enviar correo o hacer una reunión con la oficina de comunicaciones de la S.D.S.  
GESTIÓN DEL CONOCIMIENTO:
*Investigaciones para la salud:
Se presenta dificultad en la respuesta por parte de otras direcciones de la SDS y de las ESE para definir realización de investigaciones desde el punto de vista administrativo y científico, para lo cual se está involucrando a los miembros del comité de investigaciones para que sus respectivos coordinadores conozcan tanto los procesos que se llevan a cabo en la oficina de investigaciones y cooperación como el desarrollo de proyectos de investigación. 
La dificultad reciente es el hecho que en la SDS se inició la reestructuración, generándose diferentes subsecretarías, para lo cual se estima que se estarán identificando profesionales que tengan como función el seguimiento de las investigaciones al interior de las mismas. Como solución se proyectan mesas de trabajo para que  las personas que sean identificadas aporten en éste proceso.  
De acuerdo a la solicitud de $ 1.000.000 (mil millones de pesos), para ejecutar las investigaciones, lo definirán de acuerdo a ajustes del presupuesto, sin embargo el no realizarlas implicaría el no cumplimiento de la misión y visión de investigar en la Secretaría Distrital de Salud y las Empresas Sociales del Estado.
*Innovación: 
Dar relevancia a la innovación en el sector, como estrategia de emprendimiento, sostenibilidad institucional y mejoramiento en la calidad de vida para la población de Bogotá Distrito Capital.
*Comité de Ética para la Investigación en Salud:
La principal dificultad es que no se han firmado las dos (2) resoluciones, a pesar de haber sido aprobadas por la Oficina Asesora Jurídica.
*Comité técnico de Investigaciones: 
La profesional que manejaba el comité de investigaciones fue trasladada a un nueva Dirección por la reestructuración de la Entidad. Por lo anterior se retoma el proceso donde se recibieron informes, actas, investigaciones, memorandos etc., para ser sistematizados y continuar con proceso, procedimiento y actividades de Comité de investigaciones de la entidad.
</t>
  </si>
  <si>
    <t xml:space="preserve">MOVILIZACIÓN DEL CONOCIMIENTO:
*Observatorio para la equidad en calidad de vida y salud de Bogotá - OECVS: Se ha realizado seguimiento al proceso de firma de la resolución y del proyecto de Decreto del Observatorio, se ha expuesto la necesidad de estos documentos a las instancias correspondientes.
*Revista de investigaciones en seguridad social y Salud: 
Los autores presentan falencias estructurales y conceptuales para la elaboración de artículos. Solución: Mejorar las capacidades del personal de salud en la elaboración de    artículos.  
*Portal del Conocimiento:
Continúa la dificultad de recuperación de la información de Repositorio Digital en Salud, ya que se encuentra fuera de servicio desde el mes de abril de 2012, debido a dificultades de espacio en el servidor que soporta la intranet y extranet de la SDS.
GESTIÓN DEL CONOCIMIENTO:
*Investigaciones para la salud: 
Se requiere apoyo financiero para realización de investigaciones tanto para las SDS y las ESE.
*Comité de Ética para la Investigación en Salud:
Se ha realizado seguimiento al proceso de firma de la resolución y del proyecto de Decreto del Observatorio, se ha expuesto la necesidad de estos documentos a las instancias correspondientes.
*Comité técnico de Investigaciones: 
Se requiere apoyo de las nacientes Subsecretarías  para el desarrollo del comité de investigaciones. Así mismo es requerido el apoyo de los abogados de la Subsecretaría de Planeación y Gestión Sectorial y la Oficina Jurídica para realizar la nueva resolución que reemplaza al 0454 de 2014, que le da plataforma legal al comité de investigaciones.
</t>
  </si>
  <si>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</si>
  <si>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</si>
  <si>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</si>
  <si>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</si>
  <si>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</si>
  <si>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</si>
  <si>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</si>
  <si>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</si>
  <si>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</si>
  <si>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</si>
  <si>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</si>
  <si>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</si>
  <si>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</si>
  <si>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</si>
  <si>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</si>
  <si>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</si>
  <si>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</si>
  <si>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</si>
  <si>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</si>
  <si>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</si>
  <si>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</si>
  <si>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</si>
  <si>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</si>
  <si>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</si>
  <si>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</si>
  <si>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</si>
  <si>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</si>
  <si>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</si>
  <si>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</si>
  <si>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</si>
  <si>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</si>
  <si>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DEFINITIVO</t>
  </si>
  <si>
    <t>EJECUTADO O COMPROMETIDO</t>
  </si>
  <si>
    <t>%</t>
  </si>
  <si>
    <t xml:space="preserve">Se cuentan con los estudios previos de la Estructuración de la Política de ciencia, tecnología e innovación para la salud a partir de los desarrollos del plan de ciencia, tecnología e innovación para la salud. En relación al balance sobre avance en el logro de la meta “DISEÑO, FORMULACION E IMPLEMENTACION DE LA POLITICA DISTRITAL DE CIENCIA Y TECNOLOGIA".
Es importante tener en cuenta que las acciones realizadas por el grupo de investigaciones y cooperación en la gestión y  movilización  del conocimiento contribuyen en la formulación de la Política de  CTI para la Salud. Así mismo,  en la  página de la SDS se encuentra publicado el Plan  de CTI para la salud, acompañado de una encuesta como parte del proceso de socialización y retroalimentación.  Los insumos de esta encuesta retroalimentarán el proceso de formulación.
A su vez, para avanzar en la formulación del Plan, desde la coordinación del grupo de investigaciones y cooperación, se han venido realizando reuniones con distintos grupos a fin de construir una propuesta para la formulación de la política.
*Política y Plan de CTI y Agenda de investigaciones:
Se entrega el documento de “formación de política en ciencia, tecnología e innovación para la salud”, para primera revisión. Actualmente está en nuevos ajustes.
Se elabora documento para incluirlo en el boletín  semestral de investigaciones sobre el proceso de acompañamiento a  las ESE en investigaciones y la política de CTI para la salud.
Se realizan los ajustes al documento de “lineamientos de la Política de CTI para la salud
Participación en el espacio de investigaciones habla, donde se realiza el cierre del primer ciclo, dedicado a investigaciones relacionadas con Sistemas, servicios y políticas de salud.
*Acompañamiento técnico a las ESE:
Se participa con las ESE en la socialización que realiza Colciencias sobre la convocatoria  para proyectos de CTI en salud. 711- 2015.
Se realiza la visita al hospital Usaquén para conocer los avances en investigaciones a partir del proceso desarrollado.
Se desarrolla la reunión mensual con las ESE cuyo objetivo fue “Compartir elementos técnicos  que favorezcan el desarrollo de los procesos de  investigación en las Empresas Sociales del Estado”.
</t>
  </si>
  <si>
    <t xml:space="preserve">Se cuenta con la contratación para la prestación de servicios de apoyo logístico para la realización de eventos que permitan generar estrategias en la apropiación del conocimiento para la salud en el Distrito Capital: 1) Realizar el apoyo técnico y logístico para el desarrollo del primer encuentro de sistemas de salud: Territorios saludables como modelo de salud, 2) evento internacional de Segregación (asociado al producto de paz y postconflicto) y 3) evento internacional de APS y el papel de los hospitales locales. 
Se cuentan con los estudios previos de la Realización de la revisión de pares de los artículos para publicar para dos nuevos volúmenes para la revista de Investigaciones en Seguridad Social y Salud de la Secretaría Distrital de Salud y para el Segundo congreso distrital de investigaciones. Dentro de esta actividad se realizan los siguientes procesos para dar cumplimiento a la meta del proyecto:
* Observatorio para la equidad en calidad de vida y salud de Bogotá - OECVS: 
Proceso de convocatoria para las reuniones del 17 y 25 de junio de 2015, de la Comisión del Observatorio e Investigaciones de Salud y Paz, en el marco de la Cátedra Abierta La Salud en la Construcción de la Paz (17 de junio, sala Punto Vive Digital, y 25 de junio en el salón Oval Hemocentro, de 8:00 a.m. a 12:00 m.).
Se realizaron ajustes al cronograma de conferencias para los Conversatorios sobre Equidad, Salud y Paz.
Asistencia a la reunión de la Cátedra Abierta La salud en la Construcción de la Paz, el día 10 de junio de 2015, en la Universidad Javeriana, 12:00 m – 2:00  p.m.
Se consolidó la propuesta para la realización de Conversatorios sobre: 1) Equidad, Salud y Paz, 2) Hospitales constructores de Paz y 3) Retos del Sector Salud en el postconflicto.
Redacción de la Relatoría correspondiente al panel No 1: “Tendencias de organización y prestación de servicios”, del Foro Internacional “Desarrollo Hospitalario en Grandes Ciudades”, para ser publicada como parte de las Memorias del Foro. 
Redacción del capítulo “Determinantes Sociales de la Salud en Bogotá, D.C., 2015, para el documento sobre “El estado actual del Sector Salud en el Distrito Capital y sus proyecciones para el periodo 2016-2020”.
Redacción de un artículo informativo sobre Equidad, Salud y Paz, para ser publicado en el Boletín de Investigaciones.
*Revista de investigaciones en seguridad social y Salud: 
Se solicitó nuevamente cotizaciones para el proceso de menor cuantía y para la realización del estudio de sector, Se hizo asesoría con los autores que enviaron el artículo a la Revista de la Secretaría Distrital de Salud de Bogotá, D.C. 
Se solicitó una reunión con el Subsecretario de Gestión y Planeacion Sectorial doctor Julio Alberto Rincón Ramírez para que se socialicen los estudios que se van a hacer por Convenio, a fin de que una vez lleguen al Despacho del Señor Secretario no sean devueltos. Como no hubo respuesta Se ajustó el preliminar de los estudios previos y se va a hacer por la modalidad de Menor Cuantía y por contrato, se cambió el nombre del objeto así: “Contratar la prestación de servicios para el fortalecimiento de la movilización del conocimiento en dos procesos: La Revista de Salud y Seguridad Social y apoyo a la realización del Segundo Congreso en Investigación en Salud”. Valor $ 236.807.000
*Cooperación Nacional e Internacional: 
Seguimiento al plan de trabajo detallado para la implementación de la agenda internacional en salud. Coordinación con las 22 ESE para participar en ‘vitrina’ del Foro Internacional Semana Psiacoactiva 2015. Revisión de información sobre cumbres, seminarios, capacitaciones, convocatorias, etc sobre asuntos de cooperación, asociaciones público-privadas, relaciones internacionales y similares en asuntos de salud de carácter nacional e internacional para la divulgación entre la SDS y las ESE para su información y participación.
Coordinación, asistencia y participación en: 1) dos  reuniones convocadas con la DDRI para Bogotá Climate Summit, 2) reunión con equipo de la SDS y de la OPS/OMS para revisión de minuta (compromisos, tiempos, responsabilidades y productos) para el convenio específico de cooperación, 3) reunión de seguimiento a Comité de Laboratorios para exposición y explicación de los procesos y procedimientos para la elaboración de memorandos de entendimientos y convenios de cooperación internacional y 4) lanzamiento del Bogotá Climatte Summit convocada por Alcalde Mayor.
*Estrategia de Comunicaciones:
Revisión semanal de las página de instituciones del sector de la salud especializadas en investigaciones, ciencia, tecnología e innovación -incluida COLCIENCIAS- para actualizar la información sobre convocatorias, cursos o proyectos. Revisión digital de las convocatorias sobre investigaciones. Revisión diaria de noticias del sector. Edición del Boletín de convocatorias BK2 para el mes de junio. Por otro lado, se han diseñado 15 piezas de comunicación para la divulgación de los diferentes eventos de investigaciones y CTI en salud (convocatorias, cursos, seminarios, talleres, etc.). Coordinación general con la Oficina de comunicaciones para la movilización del conocimiento en investigaciones. Reuniones con el operador logístico para las conclusiones del evento y la organización del próximo. Se realizaron las cartas de agradecimiento a los conferencistas. Se avanzó en la primera entrega editada de los lineamientos 2015 de Investigaciones y Cooperación. Se envió a comunicaciones el documento de las memorias del congreso para edición y diagramación. Comunicaciones hizo entrega de 1000 afiches de divulgación con el logo de investigaciones Habla como apoyo  a la campaña de socialización.
*Portal del Conocimiento:  
Prestación de servicios y programas de biblioteca. Contando con los servicios atención a usuarios, préstamo de material (interno, externo, interbibliotecario), uso de computadores. Documento informe mensual consolidado satisfacción de servicios, programas y usuarios internos y externos a diario (estadísticas). 
Elaboración de reseñas y publicación de las nuevas adquisiciones mes de Junio: 1) Reseñas para la cartelera del mes en presentación Power Point (10) portadas, 2) Boletín para actualizar cartelera de la biblioteca (novedades bibliográficas biblioteca) y 3) Presentación de novedades bibliográficas por SDS, Comunicaciones.
Procesamiento físico de donaciones y canjes de documentos efectuados por las diferentes dependencias de la SDS y las diferentes instituciones Distritales y/o Nacionales: a) (31) encabezamientos de materia para recuperar los contenidos de los libros, con análisis de contenidos, número de catalogación y encabezamientos de materia para ingresar a la base de datos WINISIS y visibilizarlos por Internet a través del catálogo en línea, b) Marcación de (29) libros con sellos y fecha de vencimientos en los libros donados a la biblioteca, c) Rótulos No. topográfico a (28)  de libros para poner a disposición de los usuarios de internos y externos de la biblioteca y d) Códigos de barras a (14) libros para control de inventario.
Asistencia a reunión con los Guías TIC, administradores ETB del Punto Vive Digital de la Secretaria de Salud, para acordar plan de trabajo de los meses de Julio- Agosto. Visita a entidades por los Guías TIC – ETB, para desarrollar charlas informativas y presentar los servicios que ofrece el Punto Vive Digital. Actualización Guía de Trámites y Servicios del Sistema Único de Información de Tramites  SUIT del DAFP del portal Alcaldía Mayor de Bogotá, al referente y administrador de contenidos de trámites y Servicios SDS de la Dirección de Servicio a la Ciudadanía en los servicios que presta la biblioteca.
</t>
  </si>
  <si>
    <t xml:space="preserve">Gestión del conocimiento a través del desarrollo de investigaciones. </t>
  </si>
  <si>
    <t xml:space="preserve">Dentro de esta actividad se realizan los siguientes procesos para dar cumplimiento a la meta del proyecto:
*Fortalecimiento de capacidades: 
Se trabaja para integrar a toda la institución en el proceso de fortalecimiento de capacidades, en el marco de la eficiencia y bajo el modelo de la gestión del conocimiento desde el Capital Intelectual. Se desarrolla contenido para la guía de gestión del conocimiento en la SDS para la administración de la gestión del conocimiento en la SDS. Se realiza nueva revisión de artículos en la web Y se bajan algunos artículos para traducir e incorporar a la Guía para la gestión del conocimiento en la SDS.
*Grupos de investigación:
Se realiza semanalmente chequeo y actualización del CvLAC de algunos investigadores, así como la información de GrupLAC e InstituLAC - plataforma ScienTI. Se brinda asesoría técnica individual a los investigadores de la SDS y la ESE, relacionada con el manejo del CVlac y el Gruplac. Se realizan asesorías técnicas, financieras a los investigadores pertenecientes a los grupos de investigación. Se envía un e-mail a los investigadores comunicándoles sobre las convocatorias de Colciencias relacionadas con el sector salud. Se realiza la vinculación de algunos funcionarios al Grupo de investigación de la SDS.
*Semilleros de investigación:
Se realizó el documento informativo sobre el semillero de Investigaciones de la SDS, para incluirlo en el boletín semestral de investigaciones.
Verificación y revisión de los integrantes con los que actualmente cuenta el semillero. Se establece tres estrategias de (conocer los avances de cada proceso, revisión de quien puede dar asesoría y alianzas estratégicas para avances de cada proceso) para continuación con el proceso con las semillas durante los meses de julio, Agosto Y Septiembre. 
Realización y Ajuste del documento de acto administrativo para el funcionamiento del semillero, envió de este documento resolución de constitución del semillero al abogado de la Subsecretaria de planeación y gestión sectorial, para revisión y tramite con la Oficina jurídica de la SDS.
*Investigaciones para la salud:  
Se actualiza la tabla maestra de seguimiento a investigaciones de acuerdo a requerimientos de periodo de tiempo 2012 -2014 de la SDS y las ESE a 31 de junio de 2015. Se continua en el manejo del aplicativo web 2.0, para la sistematización interactiva de la TABLA MAESTRA de seguimiento a las investigaciones, que fue producto en el marco del Convenio 1426 del 2013 suscrito entre la SDS y la Fundación Universitaria de Ciencias de la salud (FUCS). Se sustentaron 17 proyectos de investigación que fueron convocados por Planeación Distrital, (actividad que terminó en el mes de mayo de 2015) para la convocatoria 001 de 2014, para acceder a recursos de regalías. Los resultados definitivos se darán a conocer en el mes de junio de 2015. Se inicia el proceso administrativo para análisis de 2 proyectos que presentaran el Hospital Engativá y el Hospital Nazareth para acceder a recursos de Colciencias para la convocatoria N° 711 para proyectos de ciencia, tecnología e innovación en Salud.
 *Innovación: 
Seguimiento a los requerimientos solicitados por el Hospital Pablo VI Bosa para presentación del proyecto al comité de ética. Participación en la presentación y sustentación del proyecto sobre innovación social ante el comité de ética del Hospital Pablo VI Bosa. Gestión con la subdirección del Instituto Nacional de Cancerología para agendar visita de referenciación con profesionales de los Hospitales de la red. Invitación enviada a los colaboradores de las Empresas Sociales del Estado de la red y de la Secretaría a participar en la visita de referenciación al Instituto Nacional de Cancerología. Participación en la visita de referenciación a la subdirección de investigaciones del Instituto Nacional de Cancerología. Elaboración documento sobre desarrollo del proceso para incluirlo en el boletín semestral.
 *Comité de Ética para la Investigación en Salud:
Se convocó a la reunión del CEIS para el 30 de junio, 8:00 a.m. a 12:00 m. para el análisis de los proyectos de investigación, en el marco de la Convocatoria de Colciencias Nos. 712, 711, 715. 
Asesoría al Comité de Ética de Investigación del Hospital de Kennedy, el 3 de junio de 2015, de 8:00 a.m. a 11:30 a.m., para el proceso de certificación del CEI por parte del INVIMA. 
Consecución de conferencistas y proceso de convocatoria para la tercera reunión del año de la RED_CEIS_Bogotá, (18 de junio de 2015, Salón Oval, Edificio Hemocentro, 8:00 a.m. – 12:00 m.). La agenda de la sesión fue: RED DISTRITAL DE COMITÉS EN ÉTICA EN INVESTIGACIÓN EN SALUD DE BOGOTÁ, Realización de dos conversatorios: 1.Ética En Investigación En Salud Mental Y Psiquiatría y 2. Ética En Investigación En Comunidades Indígenas. Fecha: jueves 18 de junio de 2015. Lugar: Salón Oval, tercer piso del Edificio Hemocentro, Secretaría Distrital de Salud de Bogotá. 
Búsqueda y selección de lecturas, películas, documentales y noticias para la sesión de la Red Distrital de CEI del 18 de junio de 2015:1. Sobre poblaciones vulnerables. (4 archivos), 2. Ética en investigación en salud mental y psiquiatría. (7 archivos), 3. Farmacodependencia y rehabilitación en poblaciones especiales (11 archivos), 4. Ética en investigación en salud en comunidades indígenas. (7 archivos), 5. Enlaces a películas. (3 enlaces), 6. Enlaces a documentales y reportajes (15 enlaces) y 7. Documentales sobre la situación de los pueblos indígenas en colombia (6 enlaces).
*Comité técnico de Investigaciones:
Se actualiza archivo que da cuenta del nombre de las investigaciones y su etapa para entrar al comité de investigaciones. 
Se realizó el comité de investigaciones del mes de junio de 2015 cuya actividad fue la siguiente: definir cronogramas para comité ordinarios y extraordinarios y los procedimientos a cumplir para evaluación y aval de proyectos para las convocatorias N° 711 (para proyectos de ciencia, tecnología e innovación en Salud; N° 712 (para proyectos de investigación en Ciencias Básicas.) y N° 715. (Para proyectos de investigación y desarrollo en ingenierías- componente 4.4. Salud). Las convocatorias se cierran en los meses de julio y agosto del año 2015.  
</t>
  </si>
  <si>
    <t>Total general</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</si>
  <si>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Código:</t>
    </r>
    <r>
      <rPr>
        <sz val="9"/>
        <color indexed="8"/>
        <rFont val="Arial"/>
        <family val="2"/>
      </rPr>
      <t xml:space="preserve"> 114 - PLI - FT -  062 V.01</t>
    </r>
  </si>
  <si>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Código: </t>
    </r>
    <r>
      <rPr>
        <sz val="9"/>
        <color indexed="8"/>
        <rFont val="Arial"/>
        <family val="2"/>
      </rPr>
      <t>114 - PLI - FT -  062 V.01</t>
    </r>
  </si>
  <si>
    <t xml:space="preserve">EJE ESTRATÉGICO DEL PLAN DE DESARROLLO BOGOTA HUMANA 2012-2016: UNA BOGOTA EN DEFENSA Y FORTALECIMIENTO DE LO PUBLICO </t>
  </si>
  <si>
    <t>EJE ESTRATÉGICO DEL PLAN TERRITORIAL DE SALUD PARA BOGOTÁ 2012-2016: COMPONENTE DE GOBERNANZA Y RECTORÍA</t>
  </si>
  <si>
    <t>PROGRAMA DEL PLAN DE DESARROLLO BOGOTA HUMANA 2012-2016:  BOGOTA DECIDE Y PROTEGE EL DERECHO FUNDAMENTAL A LA SALUD PUBLICA</t>
  </si>
  <si>
    <t>PROYECTO DE INVERSIÓN DEL PLAN DE DESARROLLO BOGOTA HUMANA 2012-2016:  FORTALECIMIENTO DE LA GESTIÓN Y PLANEACIÓN PARA LA SALUD</t>
  </si>
  <si>
    <t>VALOR APROPIACIÓN</t>
  </si>
  <si>
    <t>DIFICULTADES</t>
  </si>
  <si>
    <t>TIPO DE POBLACIÓN</t>
  </si>
  <si>
    <t xml:space="preserve">Porcentaje de  construcción e implementación del Sistema integral de análisis y evaluación de políticas de salud
</t>
  </si>
  <si>
    <r>
      <rPr>
        <b/>
        <sz val="9"/>
        <color indexed="8"/>
        <rFont val="Arial Narrow"/>
        <family val="2"/>
      </rPr>
      <t>JUNIO</t>
    </r>
    <r>
      <rPr>
        <sz val="9"/>
        <color indexed="8"/>
        <rFont val="Arial Narrow"/>
        <family val="2"/>
      </rPr>
      <t>:
1) Se construyó documento de ficha técnica para evaluación de impacto de políticas públicas, en el cual se incluyó apartado relacionado con la identificación de la cadena de valor (productos y resultados) que se comporta como insumo para el análisis de políticas públicas.
2) Se incorporó al normograma la Resolución 1868 de 2015 en relación con cáncer y la Ley 1752 de 2015, relacionada con discapacidad. También se agregó la Ley 1753 de 2015 sobre el Plan Nacional de Desarrollo 2014-2018. Se elaboró ficha técnica para evaluación de políticas públicas y se envió taller de planes de acción a las referentes de salud mental, salud oral, infecciones intrahospitalarias y calidad de vida de los trabajadores. Se realizó socialización con el grupo de interdirecciones de políticas públicas de la ley 1753 por la cual se adopta el Plan Nacional de Desarrollo Todos por un nuevo país 2014-2018 y la Resolución 1868 de 2015 respectivamente.
3) Se canalizó a través de los referentes del grupo de políticas, los proyectos de Ley que inciden en salud, hacia los referentes técnicos que manejan tales temas.
4) Se trabajó con la Subdirección de Evaluación y Gestión de Políticas Públicas en la revisión de la Ley 1753 de 2015.
5) De manera conjunta con la Subsecretaría de Salud Pública se realizan y consolida la matriz que contiene los 36 indicadores que dan cuenta de la gestión de la SDS para la implementación de la Política de Infancia y Adolescencia y los 10 indicadores de Juventud. Se presenta el comportamiento de dicho indicadores para las vigencias 2012-2014 así como el análisis de su comportamiento.</t>
    </r>
  </si>
  <si>
    <r>
      <t xml:space="preserve">HASTA JUNIO:
</t>
    </r>
    <r>
      <rPr>
        <sz val="9"/>
        <color indexed="8"/>
        <rFont val="Arial Narrow"/>
        <family val="2"/>
      </rPr>
      <t>1) Se incorporó en el Sistema de información de Procesos Automáticos -SIPA de la Dirección de Diversidad Sexual de la Secretaría Distrital de Planeación, seguimiento al último trimestre del año 2014.
2) De manera conjunta con los profesionales de la Subsecretaría de Salud Pública, se construye el documento de lineamientos para la vigencia 2015, dirigidos a los equipos territoriales para la implementación del Programa de Atención Integral a la Primera Infancia: “Ser feliz Creciendo Feliz”. 
3) Se realiza de manera conjunta con los profesionales de vigilancia de Salud Pública, la revisión y aportes al documento “Análisis situacional de Política de Infancia y Adolescencia”, que se está construyendo a nivel distrital, con el fin de evaluar y hacer seguimiento de la implementación de la Política de Infancia y adolescencia en el Distrito.
4) Se revisa y retroalimenta la información que entrega la Secretaría de Integración Social respecto a los indicadores que dan cuenta de la situación de salud de los niños, niñas y adolescentes desde el año 2008 a 2014, los cuales hacen parte del soporte del documento “Análisis situacional de Política de Infancia y Adolescencia”.
5) Se realiza y entrega para revisión de Directora de Planeación Sectorial el Informe de Gestión y Cierre Presupuestal de Infancia y Adolescencia correspondiente a la vigencia 2014.
6) Se logra realizar matriz de seguimiento a la Política Pública de Infancia Adolescencia 2012 a 2014 y proyección presupuestal 2015-2016, entregada a la Secretaría Distrital de Planeación.
7) Se logra realizar Informe de inversión y gestión desarrollada por el Sector Salud para los niños y niñas de 0-5 años, en el marco del Programa de Atención Integral a la Primera Infancia 2012-2014.
8) Se logra realizar documento y presentación para el Debate sobre atención [inversión y gestión] Primera Infancia en el Concejo de Bogotá.
9) Documento e Informe sobre la Gestión en la Inversión del Sector salud en la Primera Infancia Vigencias 2012-2014, para dar respuesta a la Proposición 127 emitida por el Concejo de Bogotá con radicado N° 2015ER25432-O1 del 30 de marzo de 2015.
10) Documento de Análisis de oportunidades, amenazas, debilidades e incidencias en la norma relacionada con salud. 
11) Propuesta del contenido del boletín de comunicación
12) Actualización de Inventario con fecha al mes de mayo en Isolución, listo para dar cuenta a los entes de control y apoyar el seguimiento interno
13) Actualización del normograma del proceso de Políticas en Salud.
14) Consolidación de 36 indicadores que dan cuenta de la gestión de la SDS para la implementación de la Política de Infancia y Adolescencia y los 10 indicadores de Juventud. Se presenta el comportamiento de dicho indicadores para las vigencias 2012-2014 así como el análisis de su comportamiento.</t>
    </r>
  </si>
  <si>
    <r>
      <rPr>
        <b/>
        <sz val="9"/>
        <color indexed="8"/>
        <rFont val="Arial Narrow"/>
        <family val="2"/>
      </rPr>
      <t>HASTA JUNIO:</t>
    </r>
    <r>
      <rPr>
        <sz val="9"/>
        <color indexed="8"/>
        <rFont val="Arial Narrow"/>
        <family val="2"/>
      </rPr>
      <t xml:space="preserve">
1 - Incorporado en el Sistema de información de Procesos Automáticos -SIPA de la Dirección de Diversidad Sexual de la Secretaría Distrital de Planeación, seguimiento al último trimestre del año 2014.
2 - Documento “Lineamientos 2015 para la implementación del Programa de Atención Integral a la Primera Infancia: “Ser feliz Creciendo Feliz”, dirigido a los equipos territoriales.
3 - Documento “Análisis situacional de Política de Infancia y Adolescencia”, revisado y entregado a la Secretaría de Integración Social.
4 - Indicadores de la situación de salud de los niños, niñas y adolescentes 2008-2014.
5 - Informe de gestión y cierre presupuestal de infancia y adolescencia correspondiente a la vigencia 2014
6- Matriz de seguimiento a la Política Pública de Infancia Adolescencia 2012 a 2014 y proyección presupuestal 2015-2016, entregada a la SDP.
7-Documento Informe de inversión y gestión desarrollada por el Sector Salud para los niños y niñas de 0-5 años, en el marco del Programa de Atención Integral a la Primera Infancia 2012-2014.
8-Documento y presentación para el Debate sobre atención [inversión y gestión] Primera Infancia en el Concejo de Bogotá.
9-Informe sobre la gestión en la inversión del sector salud en la primera infancia vigencias 2012-2014, para dar respuesta a la Proposición 127 emitida por el Concejo de Bogotá con No de radicado 2015ER25432-O1 del 30 de marzo de 2015.
10- Documento con las observaciones realizadas a las filas 1,2, 5, 8, 9, 11, 14, 15 y 16 del anexo enviado por la Secretaría Distrital de Salud y evaluado por el Ministerio de Salud y Protección Social.
11-Oportunidad en la consulta e implementación de las normas del proceso de Políticas en Salud.
12-La SDS cuenta con 36 indicadores que dan cuenta de la gestión de la implementación de la Política de Infancia y Adolescencia y los 10 indicadores de Juventud. 
</t>
    </r>
  </si>
  <si>
    <t>DESPLAZADOS INDÍGENAS</t>
  </si>
  <si>
    <t>INDÍGENAS</t>
  </si>
  <si>
    <t>TOTAL DE LA POBLACIÓN</t>
  </si>
  <si>
    <t>POBLACIÓN VINCULADA</t>
  </si>
  <si>
    <t>e04o01m02</t>
  </si>
  <si>
    <t>e04o01m02-617</t>
  </si>
  <si>
    <t>02</t>
  </si>
  <si>
    <t>Numero de planes locales armonizados a las políticas públicas de salud.
Número de planes locales gestionados</t>
  </si>
  <si>
    <r>
      <rPr>
        <b/>
        <sz val="8"/>
        <color indexed="8"/>
        <rFont val="Arial Narrow"/>
        <family val="2"/>
      </rPr>
      <t xml:space="preserve">JUNIO: </t>
    </r>
    <r>
      <rPr>
        <sz val="8"/>
        <color indexed="8"/>
        <rFont val="Arial Narrow"/>
        <family val="2"/>
      </rPr>
      <t xml:space="preserve">
Se realizó asesoría y asistencia técnica en seguimiento de proyectos de inversión local de salud a las localidades en los proyectos que se relacionan a continuación: 
Ciudad Bolivar 2014: Promoción y Prevención sensibilización en derechos sexuales y reproductivos con los y las adolescentes y jóvenes de la localidad 19 de Ciudad Bolivar; Atención a personas en condición de discapacidad física y cognitiva de la localidad 19 de Ciudad Bolivar.
Usme: componente de ayudas técnicas: visitas domiciliarias de vigencias 2012-2013.
Puente Aranda vigencia 2014: Componente de Salud Oral: El contrato de suministros para la compra y entrega de los Kit orales se realizó la entrega al Almacén, está pendiente reiniciar el contrato de las actividades educativas después del receso escolar de mitad de año.
Componente de Ayudas Técnicas: CIA 049/2014. El proceso de contratación del proveedor se encuentra en página pero se declara desierto porque el proveedor seleccionado no cumplió con las solicitudes realizadas al momento de la contratación. Se inicia nuevamente proceso. 
Kennedy: Componente de Salud mental, Salud Nutricional y Banco de ayudas Técnicas (PyP) CIA 126/13 - Adición 2014: Al mes de Junio se han realizado 6 emisiones de las contratadas. Se inicia el proceso de toma de medidas para las ayudas técnica a entregar. 
Componente de control de vectores: Se realiza el ingreso al almacén de la Alcaldía de insumos. Se lograron consolidar 18 focos con un total de 107.000 metros cuadrados. Se realizan la fumigación y desratización de manera simultánea. 
Fontibón: Componente Ámbito Escolar: CIA 181/2014: Durante el mes se realizan talleres de salud oral a 35 grupos, Se realizan en infancia 35 grupos en salud mental y prevención de consumo de SPA, en adolescentes 17 grupos en salud mental y prevención del consumo de SPA. 1 grupo de padres de familia, 2 grupos de docentes, se pueden realizar dos grupos de autoayuda. 
Componente de Control de vectores: CIA 179/2014. Se realizan 310 visitas de diagnóstico y se han realizado 16.500 metros de desratización. 
Componente de Salud sexual y reproductiva: CIA 177/2014. Las actividades tienen una suspensión por el receso de vacaciones tanto en las Instituciones Educativas como en las Fundaciones y organizaciones para los grupos de ciclos vitales.
Componente Ayudas Técnicas: CIA 178/2014: Se han realizado 62 visitas efectivas de verificación y prescripción, para un total hasta mayo de 123 visitas efectivas.
En etapa de formulación para la vigencia 2015, segunda revisión con ajustes de Anexos Técnicos en la localidad de Fontibón en los componentes de: Ayudas Técnicas y Vectores, quedando ajustados y listos para solicitud de Concepto Técnico. Se revisa la posibilidad de formular el componente de Ayudas Técnicas con la localidad de Sumapaz.
Puente Aranda, Kennedy y Fontibón se continúa con espacios establecidos de Comité Técnico de seguimiento por componente. Se realiza acompañamiento a los comités técnicos del componente de ayudas Técnicas de las localidades de Ciudad Bolivar y Antonio Nariño
Localidad de Mártires: Se realizan mesas de trabajo conjunto para adelantar la asesoría y asistencia técnica para la formulación del Proyecto No. 970 PGI: Ambiente Saludable. Componente: Prevención e intervención de focos para el control de plagas y vectores y "Proyecto No. 967 PGI: Promoción y prevención de la salud. Componentes: 1) Entrega de Ayudas Técnicas; 2) Salud Oral; 3) Ruta de la salud".
para la vigencia 2015.
Localidad de Santa Fe: Se realizan mesas de trabajo conjunto para adelantar la asesoría y asistencia técnica en el proceso de actualización de concepto técnico para la adición con recursos de vigencia 2015 y prorroga de los Convenios Interactivos 075-2014, 076-2014 y 077-2014 para la implementación de los proyectos No. 1149 Santafé con salud para todos y todas. Componentes: Rutas Saludables, Acciones integrales en salud, Banco de Ayudas Técnicas respectivamente.
Participación en espacios intersectoriales convocados para realizar el seguimiento a los proyectos de inversión local en salud formulados para las vigencias 2013 y 2014 que se encuentran en ejecución en las localidades de Mártires, Santa Fe, Candelaria, Rafael Uribe Uribe, Antonio Nariño y Teusaquillo.
Realización del proceso de asesoría y asistencia técnica en la ejecución de convenios/contratos de proyectos de inversión local en salud suscritos para las vigencias 2013 y 2014 de las localidades de Candelaria, Santafé, Mártires, Rafael Uribe Uribe y Antonio Nariño.</t>
    </r>
  </si>
  <si>
    <r>
      <rPr>
        <b/>
        <sz val="8"/>
        <color indexed="8"/>
        <rFont val="Arial Narrow"/>
        <family val="2"/>
      </rPr>
      <t xml:space="preserve">HASTA JUNIO: </t>
    </r>
    <r>
      <rPr>
        <sz val="8"/>
        <color indexed="8"/>
        <rFont val="Arial Narrow"/>
        <family val="2"/>
      </rPr>
      <t xml:space="preserve">
Ciudad Bolivar: En la Fase de Alistamiento se adelantó proceso de perfeccionamiento con la Fundación un Nuevo amanecer, quedando legalizado el día 02 de junio de 2015. Presentación pública del proyecto el día 25 de Junio de 2015.
Atención a personas en condición de discapacidad física y cognitiva de la localidad 19 de Ciudad Bolivar: El 18 de Junio de 2015 se realizó visita de reconocimiento a la Granja del Parque Mundo Aventura a fin de obtener aval para llevar a cabo las sesiones de hipoterapia. El día 24 de Junio de 2015 la firma interventora realizó algunas recomendaciones con relación a la base de datos a manejar en el proyecto, así: revisar el diagnostico (los tipos de discapacidad), para que este espacio se discrimine de tal manera, con la última actualización del concepto de discapacidad. Tener en cuenta el tipo de población que se va atender y pueda llegar al convenio para que no quede por fuera del formato.
Promoción y Prevención sensibilización en derechos sexuales y reproductivos con los y las adolescentes y jóvenes de la localidad 19 de Ciudad Bolivar: El día 22 de Junio se realizó visita de reconocimiento a las tres IPS presentadas por el ejecutor: Centro Medico Los Ángeles, Universidad Distrital francisco Jose de Caldas y unidad Médica Medisalud.
Usme: componente de ayudas técnicas: a la fecha se han entregado 130 de las 400 programadas, se determinó asignar una ayuda por usuario debió al recorte del presupuesto por parte del FDL.
salud Oral: Este proyecto estaba para finalización en el mes de septiembre, pero debido a la acogida del mismo y el oportuno cumplimiento en las tareas finalizo al 100% el día 27 de junio quedando pendiente la radicación del informe final en la alcaldía y en la Secretaria de salud.
Promoción y Prevención: El proyecto finalizo en el mes de Junio dejando pendiente la radicación del informe final en la alcaldía y en la Secretaria de salud.
Localidad de Kennedy: CIA 127 Control Vectores: Se reinicia el componente para la intervención de los 18 focos priorizados.
Se tienen al día las formulaciones de Vigencia 2015 con las localidades de: Kennedy, Puente Aranda y Fontibón.
</t>
    </r>
    <r>
      <rPr>
        <sz val="8"/>
        <color indexed="62"/>
        <rFont val="Arial Narrow"/>
        <family val="2"/>
      </rPr>
      <t>Mártires:  Se mantiene las líneas de inversión en salud, emitidas por Secretaria de Gobierno.
Incorporación dentro de los proyectos de inversión local en salud integral y salud ambiental presentados por la localidad para formulación de vigencia 2015. El Fondo de Desarrollo Local de Mártires, radica documentos ajustados y concertados en mesas de trabajo con solicitud de emisión de concepto técnico por parte de la Secretaria Distrital de Salud para los proyectos de inversión local en salud Nos 970 y 967. 
Santa Fe:  Se realiza retroalimentación en mesas de trabajo virtual, sobre Anexos Técnicos de actualización y adición de recursos vigencia 2015 en el proceso de formulación de los componentes de: Rutas Saludables, Acciones integrales en salud, Banco de Ayudas Técnicas</t>
    </r>
    <r>
      <rPr>
        <sz val="8"/>
        <color indexed="8"/>
        <rFont val="Arial Narrow"/>
        <family val="2"/>
      </rPr>
      <t xml:space="preserve">.
</t>
    </r>
    <r>
      <rPr>
        <sz val="8"/>
        <color indexed="62"/>
        <rFont val="Arial Narrow"/>
        <family val="2"/>
      </rPr>
      <t>Acompañamiento técnico en el proceso de seguimiento a los convenios y contratos suscritos por los Fondos de Desarrollo Local para la implementación de los proyectos de inversión local en salud con recursos de las vigencia 2013 y 2014 que cuentan con aval de la SDS desde su proceso de formulación.</t>
    </r>
  </si>
  <si>
    <r>
      <rPr>
        <b/>
        <sz val="8"/>
        <rFont val="Arial Narrow"/>
        <family val="2"/>
      </rPr>
      <t xml:space="preserve">JUNIO: 
</t>
    </r>
    <r>
      <rPr>
        <sz val="8"/>
        <rFont val="Arial Narrow"/>
        <family val="2"/>
      </rPr>
      <t>Se realizó asesoría y asistencia técnica en seguimiento, y monitoreo de proyectos de inversión local de salud a las localidades en los proyectos vigencia 2014 en ejecución 2015 que se relacionan a continuación:
Ciudad Bolivar: 2014 Promoción y Prevención sensibilización en derechos sexuales y reproductivos con los y las adolescentes y jóvenes de la localidad 19 de Ciudad Bolivar lleva un 0,30% en avance físico y 1,88% en financiero.
Atención a personas en condición de discapacidad física y cognitiva de la localidad 19 de Ciudad Bolivar tiene un avance de 1,68% en físico y 2,37% en financiero.
Usme: 2014 Banco de ayudas técnicas en programático el 71% y financiera 41%. Proyectos de vectores y de promoción y prevención Tiene un porcentaje de ejecución del 100% en avance físico, y financiero. 
Salud Oral: Físico 100% y financiero del 90%.
Puente Aranda: Componente de Salud Oral: El contrato de suministros de insumos se ejecutó al 100%. El contrato de las campañas educativas se encuentra suspendido. 
Componente Ayudas Técnicas: Ejecución Física acumulada a Mayo 15,05%. 
Kennedy: Componente de Salud mental, Salud Nutricional y Banco de ayudas Técnicas (PyP) Vigencia 2013: Ejecución física acumulada 99%. 
Componente de control de vectores: Ejecución física acumulada 70%. Adición Vigencia 2014: Ejecución física acumulada 15%. Fontibón: 
Componente Ámbito Escolar: Ejecución física acumulada 20% 
Componente de Control de vectores: Ejecución física acumulada 15% 
Componente de Salud sexual y reproductiva: Ejecución física acumulada 35%. 
Componente Ayudas Técnicas: Ejecución física acumulada 33%
Se realizan mesas de trabajo para asesoría en la formulación con las localidades de Sumapaz.
Las actividades planeadas por los Fondos de desarrollo local complementan lo establecido desde la Secretaria Distrital de Salud en la dirección de Salud Pública (PIC) y lo que le compete al POS.
Seguimiento a ejecución de proyectos:
Santa Fe: Ortodoncia (49,16%), Salud ambiental SAMA (97,27%) Banco de Ayudas Técnicas (91,73%) Ruta Saludable (56%), Promoción y prevención (28,19%)
COPACO (100%); Candelaria: Tenencia de mascotas (15,42%), Banco de Ayudas Técnicas (90,28%),  Promoción y Prevención (80,85%), Hidroterapia e hipoterapia (7%);  Rafael Uribe Uribe Salud Oral persona adulta (23%),  Banco de Ayudas Técnicas (6,86%), Antonio Nariño:  Salud Sexual y Reproductiva (46%), Salud Oral (16%), Salud Mental (41%)  Banco de Ayudas Técnicas (12%)  Mártires Banco de Ayudas técnicas, Vacunación No POS, Salud oral, Salud Sexual, Programas de atención y formación sexual y reproductiva Prevención de consumo de SPA y Jornadas de esterilización, vacunación, identificación y adopción de caninos y felinos. (6,51%)</t>
    </r>
  </si>
  <si>
    <t>La Localidad de Bosa solicita acompañamiento Técnico al desarrollo de la Vigencia 2014 en el componente de Ayudas Técnicas, aunque no se hizo solicitud formal del concepto Técnico a dos componentes, Ayudas Técnicas contratado con el Hospital Pablo VI Bosa y Subasta inversa para adquirir los elementos directamente por la Alcaldía local de Bosa. 
Teniendo en cuenta los términos para la contratación de proyectos de inversión local en salud formulados con recursos de la vigencia 2015, por la Ley de Garantías y la exigencia de inversión de recursos los Fondos de Desarrollo Local solicitan revisión y emisión de conceptos técnicos de manera inmediata, lo que generó la necesidad de realizar mesas de trabajo conjuntas presenciales con la realización de ajustes en los contenidos y avances en la emisión de conceptos técnicos con el compromiso de oficialización de los mismos a través de su radicación posterior ante la Secretaria Distrital de Salud (Localidad de Mártires, Rafael Uribe, Santa Fe y Candelaria)
Por nueva asignación de las localidades de Teusaquillo y Barrios Unidos, aún no se ha realizado comité de seguimiento para verificación de avances en la ejecución de los proyectos formulados y contratados por estos Fondos de Desarrollo Local. El comité técnico de seguimiento a los proyectos de la localidad de Teusaquillo se encuentra programada para una fecha posterior a la de presentación de este informe. Se espera que para el reporte a presentar en el mes de julio/15 ya se tengan datos sobre este tema.
Se continúa a la espera de solicitud de acompañamiento técnico para sus procesos de formulación, seguimiento y evaluación de proyectos de inversión local en salud de las localidades de San Cristóbal y Barrios Unidos.</t>
  </si>
  <si>
    <t>e04o01m03</t>
  </si>
  <si>
    <t>e04o01m03-617</t>
  </si>
  <si>
    <t xml:space="preserve">porcentaje de ejecución presupuestal
</t>
  </si>
  <si>
    <r>
      <rPr>
        <b/>
        <sz val="9"/>
        <color indexed="8"/>
        <rFont val="Arial Narrow"/>
        <family val="2"/>
      </rPr>
      <t>JUNIO</t>
    </r>
    <r>
      <rPr>
        <sz val="9"/>
        <color indexed="8"/>
        <rFont val="Arial Narrow"/>
        <family val="2"/>
      </rPr>
      <t>:
1) Actualización del Plan Financiero Plurianual Territorial de forma conjunta con los demás funcionarios de la Secretaria Distrital de Salud que tengan relación 
2) Elaborar el análisis comparativo 2014/2015 del presupuesto de gastos de funcionamiento e inversión asignado y ejecutado. 
3) Se realizó el análisis a las solicitudes de ajustes presupuestales en el marco del Decreto 195/07, Circular SDS 020 de 2011 e Instructivo SDH 002 de 2007; y se emitieron 16 conceptos de modificaciones presupuestales 
4) Con respecto a NIIF: Se realiza primera ronda de capacitación y socialización del programa piloto adelantado por la Dirección Distrital de Contabilidad en los hospitales Santa Clara y Usaquén, a los 20 hospitales restantes de la red pública distrital, se crea aula virtual como instrumento de comunicación para facilitar el proceso de implementación de las NIIF en los 22 hospitales de la red pública distrital.
5) INDICADORES FINANCIEROS / PSFF/ PDIFF: Se realizó seguimiento y análisis al cumplimiento de las medidas adoptadas en los Programas de Saneamiento Fiscal y Financiero y a los Planes de Desempeño Institucional, Fiscal y Financiero, con corte a 31 de Marzo de 2015, se realizaron Mesas de crisis para análisis de la situación actual del Hospital San Blas en tres componentes: Análisis presupuestal , Análisis de servicios y necesidad de recursos, se estructura la metodología para el levantamiento de los costos Unitarios CUPS con base en la prueba piloto de 160 Costos Unitarios CUPS ya identificados, se cuenta con la información de Costos del primer Trimestre de las 22 ESE , para ser consolidada, analizada y puesta en conocimiento de los resultados a la Dirección, a las Gerencias de las Empresas y a Secretaria de Hacienda.</t>
    </r>
  </si>
  <si>
    <r>
      <t xml:space="preserve">HASTA JUNIO
</t>
    </r>
    <r>
      <rPr>
        <sz val="9"/>
        <color indexed="8"/>
        <rFont val="Arial Narrow"/>
        <family val="2"/>
      </rPr>
      <t>1. Se logra realizar el documento análisis de la ejecución del presupuesto por localidades con corte a diciembre 31 de 2014.
2. Se logró elaborar el documento Informe Ejecutivo de Seguimiento al Plan Distrital de Salud 2012-2016 “Análisis de la Gestión Segundo Semestre de 2014 del POA” en el marco del Plan de Desarrollo “Bogotá Humana” 2012 -2016.
3. Se logró realizar el seguimiento mensual al Presupuesto Orientado a Resultados - POR con corte a Diciembre 31 de 2014 de la Secretaría Distal de Salud y del Fondo Financiero Distrital.
4. Se logra consolidar la información de costos correspondiente al tercer trimestre del 2014, conforme a lo establecido en la Resolución DDC -0002 de 2014.
5. Se logra elaborar un informe trimestral teniendo en cuenta los centros de costos, por red, por niveles. 
6. Se logran cuadros comparativos entre el tercer trimestre de 2013 y el tercer trimestre de 2014, sobre el total de costos por ESE, elementos del costo Unidades de negocio por nivel y por red. Se analiza la información y se hace entrega de un primer informe
7. Se logra actualizar el formato 2 de los anexos del Plan Financiero Plurianual Territorial con la ejecución definitiva del presupuesto 2014 y el presupuesto definitivo 2015.
8. Se elabora la presentación con el análisis de la inversión periodo 2012-2014 del presupuesto de las metas de los proyectos de inversión del Fondo Financiero Distrital de Salud que están asociadas a garantizar la prestación de los servicios de salud a los niños(as) menores de cinco años.
9. Se logra elaborar el informe del seguimiento a la inversión de los recursos asignados a marzo 31 de 2015 para garantizar la prestación de los servicios de salud a la población desplazada y/o víctima del conflicto armado.
10. Se logra obtener la información relacionada con costos en los Planes de Saneamiento Fiscal y Financiero, se revisa el Pacto de Mejoramiento de la Contraloría y se espera que las 22 Empresas abran 95 acciones correctivas en coordinación con las Oficinas de Calidad, derivadas de los resultados del informe de 2014, con las variables costos y facturación. 
11. Se logra estructurar la metodología con base en la prueba piloto del levantamiento de 160 Costos Unitarios CUPS. Se circularizaran los 160 Costos Unitarios CUPS a las Empresas Sociales el Estado para su utilización.
12. Actualización de los anexos de rentas departamentales y esfuerzo propio para las vigencias 2014 y 2015.
13. Actualización del documento de redes del FFDS con la información financiera correspondiente a los periodos 2013 a 2015.
14. Se definieron los lineamientos para la elaboración del Anteproyecto de presupuesto 2016.
15 Actualización del Plan Financiero Plurianual Territorial</t>
    </r>
  </si>
  <si>
    <r>
      <t xml:space="preserve">HASTA JUNIO
</t>
    </r>
    <r>
      <rPr>
        <sz val="9"/>
        <color indexed="8"/>
        <rFont val="Arial Narrow"/>
        <family val="2"/>
      </rPr>
      <t>1. Documento análisis de la ejecución del presupuesto por localidades con corte a diciembre 31 de 2014.
2. Documento Informe Ejecutivo de Seguimiento al Plan Distrital de Salud 2012-2016 “Análisis de la Gestión Segundo Semestre de 2014 del POA” en el marco del Plan de Desarrollo “Bogotá Humana” 2012 -2016.
3. Matriz de seguimiento mensual al Presupuesto Orientado a Resultados - POR con corte a Diciembre 31 de 2014 de la Secretaría Distal de Salud y del Fondo Financiero Distrital y datos incorporados en el aplicativo PREDIS de Hacienda Distrital.
4. información de costos correspondiente al tercer trimestre del 2014, en la matriz de procedimientos CUPS; conforme a lo establecido en la Resolución DDC -0002 de 2014.
5. Informe trimestral teniendo en cuenta los centros de costos, por red, por niveles
6. Cuadros comparativos entre el tercer trimestre de 2013 y el tercer trimestre de 2014, sobre el total de costos por ESE, elementos del costo Unidades de negocio por nivel y por red. Se analiza la información y se hace entrega de un primer informe
7. Formato 2 de los anexos del Plan Financiero Plurianual Territorial con la ejecución definitiva del presupuesto 2014 y el presupuesto definitivo 2015 actualizado.
8. Presentación con el análisis de la inversión periodo 2012-2014 del presupuesto de las metas de los proyectos de inversión del Fondo Financiero Distrital de Salud que están asociadas a garantizar la prestación de los servicios de salud a los niños(as) menores de cinco años.
9. Metodología estructurada con base en la prueba piloto del levantamiento de 160 Costos Unitarios CUPS. Se circularizaran los 160 Costos Unitarios CUPS a las Empresas Sociales el Estado para su utilización.
10. Estandarización de conceptos para la construcción del anteproyecto 2016
11. Seguimiento y evaluación de la información financiera del REDES del FFDS.
12. La SDS cuenta con el Plan Financiero Plurianual Territorial actualizado a Junio 2015.</t>
    </r>
  </si>
  <si>
    <t>e04o02m01</t>
  </si>
  <si>
    <t>e04o02m01-617</t>
  </si>
  <si>
    <t>Número de planes de largo mediano y corto plazo formulados e implementados</t>
  </si>
  <si>
    <r>
      <rPr>
        <b/>
        <sz val="9"/>
        <color indexed="8"/>
        <rFont val="Arial Narrow"/>
        <family val="2"/>
      </rPr>
      <t>JUNIO:</t>
    </r>
    <r>
      <rPr>
        <sz val="9"/>
        <color indexed="8"/>
        <rFont val="Arial Narrow"/>
        <family val="2"/>
      </rPr>
      <t xml:space="preserve">
1) Revisión de indicadores del Plan Territorial de Salud cuya responsabilidad es de las EAPB. 
2) Asesoría técnica a las EAPB en el desarrollo de las acciones que le aportan al Plan Territorial de Salud por medio de las mesas de aseguradoras que se llevan cabo de forma mensual.
3) Revisión del seguimiento técnico financiero de los 18 proyectos de inversión del Fondo Financiero Distrital de Salud con corte a Junio 30 de 2015.
4) Ajustes al documento preliminar Balance de resultados 2012-2014, con énfasis en las metas del PIC (que incluye los Proyectos de Inversión 869- Salud Para el Buen Vivir y el 885- Salud Ambiental).
5) Se generan los reportes de definitivos de los componentes de gestión, inversión, actividades y territorialización para realizar la revisión y ajustes en común acuerdo con la Secretaría de Planeación Distrital.
6) Se realizan los ajustes pertinentes a las matrices de seguimiento del Plan de Desarrollo Bogotá Humana por proyectos para realizar el seguimiento al mes de Mayo de 2015.
7) Se realiza matriz de análisis a la ejecución por Proyecto de Inversión del Fondo Financiero Distrital de Salud, con corte a mayo 30 de 2015.
8) Se realiza análisis, de los proyectos inscritos en Plan Bienal de Inversiones en Salud, realizando los respectivos conceptos integrales, los cuales se direccionan al Ministerio de Salud y Protección Social, para concepto técnico de viabilidad.
9) Se emitieron durante el periodo de junio 20 conceptos técnicos.
10) Revisión y análisis de los indicadores de gestión del sector salud y ajuste a los indicadores del grupo de RIPS con la Alta Consejería.
11) Consolidación informe de Gestión preliminar 2012-2014.
12) Participación en la elaboración de la metodología y en la matriz - Balance de la Política de SPA”. 
13) Se realiza el seguimiento y evaluación a la implementación del Plan de acción Política de Infancia y Adolescencia 2012-2016, sector salud.
14) Consolidación de la propuesta presentación de logros del Plan de Desarrollo Bogotá Humana 2012-2016.
15) Consolidación del componente técnico y financiero de 17 proyectos del FFDS correspondiente a los meses de febrero y marzo de 2015.
16) Realizar el seguimiento mensual al Presupuesto Orientado a Resultados - POR con corte a Mayo 31 del 2015 de la Secretaría Distrital de Salud y del Fondo Financiero Distrital. 
17) Elaborar documento análisis situación del sector salud en Bogotá D. C. y prospectivas periodo 2016-2020.
18) Se realizó el cruce de metas del Decreto 3039 de 2007 Plan Nacional de Salud Pública, Resolución 425 de 2008, Plan de Desarrollo y Plan Territorial de salud Acuerdo 489 de 2012.
19) Elaboración de presentación de cumplimiento de metas a 31 de diciembre de 2014 para la Secretaría Distrital de Planeación. 
20) Actualización en el documento de análisis de concordancia entre los sistemas de información RIPS y SIVIGILA para los eventos Tuberculosis, meningitis, sífilis congénita, VIH en aspectos relacionados con la búsqueda de datos asociados con las atenciones para los eventos de análisis en el aplicativo SISPRO, con la finalidad establecer el índice de kappa para cada uno de ellos.
21) Actualización del documento de Modelo estadístico epidemiológico seguimiento a evento mortalidad materna en Bogotá periodo 2012 - 2014 en aspectos relacionados con hallazgos, conclusiones.
22) Ajuste y documentación de la matriz de Plan de análisis de información de forma mensual con base en los datos reportados en los RIPS durante este periodo, para las siguientes salidas. (enfermedades huérfanas, trastornos del sueño.
23) Consolidación de la información para incluir en el Boletín de estadísticas del año 2014 de las siguientes Direcciones o áreas Misionales: Laboratorio de salud pública, aseguramiento, SISVAN. 
24) Documentos finales de análisis de información de EDA y desnutrición pendiente revisión.
25) Elaboración del documento de informe definitivo del Acuerdo 489 de 2012 con el análisis y comportamiento de las metas de impacto, mortalidad evitable por localidad en el distrito capital. El análisis se realiza con corte a diciembre de 2014. 
26) Documento Serie Estadística de casos y tasas de Mortalidades evitables 2008 – 2014, como insumo para estimar las funciones.
27) Documento conteniendo formulación de metodología estadística en los proyectos de investigación Colciencias Mortalidad Materna y Perinatal de Bogotá.</t>
    </r>
  </si>
  <si>
    <r>
      <t xml:space="preserve">HASTA JUNIO
</t>
    </r>
    <r>
      <rPr>
        <sz val="9"/>
        <rFont val="Arial Narrow"/>
        <family val="2"/>
      </rPr>
      <t>1. Se logra dar asistencia técnica y se revisan los cierres 2014 y las actualizaciones de los proyectos de inversión del Fondo Financiero Distrital de Salud para la apertura 2015, de acuerdo a los recursos asignados según POAI 
2. Se lograron evaluar:  218 proyectos de las empresas sociales del estado e inscribir: 72
3. Se logra brindar los lineamientos técnicos para la elaboración de los informes de gestión y se definieron las fechas de entrega con el grupo interdirecciones de la Política de Victimas
4. se logró consolidar, revisar y sustentar el informe preliminar del Plan de Acción Distrital de la población víctima del conflicto armado el cual fue entregado a la Alta Consejería, así mismo se realizaron los ajustes pertinentes y se entregó el informe final en coordinación con el Grupo de victimas SDS. (Informe preliminar del Plan de Acción Distrital para la atención de la Población Victima del Conflicto Armado)
5. Se logra preparación de propuesta de modernización institucional concertada con Alta Consejería de la Alcaldía para las TIC.
6. Se logra revisión del documento Mapa de Procesos de la Secretaría
7. Se logra presentación de Conferencia sobre Estrategias de Comunicación a personal correspondiente de Red Hospitalaria Distrital.
8. Se logra actualizar Matriz Indicadores de Salud y presentarlos a la Secretaría Distrital de Planeación.
9. Propuesta de temas de Salud del Distrito Capital para ser incluidas en el Plan Nacional de Desarrollo para la vigencia 2014 – 2018
10. Construcción de la matriz de semaforización armonizado con la nueva estructura de la Entidad.
11. Se logra la actualización de la caracterización del proceso de Planeación Sectorial
12. Estructuración, alimentación y actualización de la matriz de seguimiento del Plan de Desarrollo Bogotá Humana articulado con el Plan Territorial de Salud, Plan de Contratación de la Secretaría Distrital de Salud de Bogotá D.C., Proyectos de Inversión del FFDS y de las Empresas Sociales del Estado, presupuestos productos metas y resultados [PMR] de la SDS
13. PROGRAMAS DE SANEAMIENTO FISCAL Y FINANCIERO: Se logra hacer entrega al Ministerio de Hacienda y Crédito Público, seguimiento a los Programas de Saneamiento Fiscal y Financiero con corte a Junio de 2014, según la metodología del MHCP.
14. Se logra consolidación de presupuestos oficiales para la vigencia 2015 de las ESE. 
15. Se logra realizar análisis, seguimiento, ajustes y consolidación de Informe RUSICST, Informe Narrativo Y FUT I Trimestre de 2015 de las acciones en salud de la Población Victima del Conflicto Armado.
16. Se logra realizar semaforización de las metas del Plan de Desarrollo por cada una de las vigencias 2012 a 2014 del EJE 1 para responder a la Veeduría.
17. En el mes de Abril se logra realizar fundamentación documental de: 
• Circular 07 de 2009 
• Circular 03 de 2012 
• Decreto 2193 de 2004 
• Circular 030 de 2013
18. Se logra desarrollar una propuesta de análisis relacionada con la concordancia entre los sistemas de información RIPS y SIVIGILA (Avances en el documento de documento de análisis relacionado con la concordancia entre los sistemas de información RIPS y SIVIGILA para los eventos Tuberculosis, meningitis, sífilis congénita, VIH)
19. Se logra realizar documentos preliminares de análisis de información de neumonía y desnutrición, con inclusión de comportamiento de los eventos según sexo, localidad de residencia, IPS tendencia del evento, tipo de usuario, tipo de atención.
20. Se logra analizar las metas de mortalidad propuestas en el Plan de Desarrollo, presentando las metas alcanzadas, que se podrán cumplir en la vigencia del Plan de Desarrollo Bogotá Humana y aquellas que no se lograrán alcanzar.
21. Se logra revisar y actualizar el comportamiento de la mortalidad evitable en el Distrito Capital. Serie de tiempo de 2001 a 2014.
22. Se actualizaron la serie de tiempo y la ficha técnica de indicadores, para concluir el informe del Acuerdo 067 de 2002. Archivo enviado a la Secretaría Distrital de Planeación, Dirección de Información, Cartografía y Estadística.
23. Se logra realizar el seguimiento al cumplimiento de las metas del Plan Desarrollo Bogotá Humana vigencia 2014.
24. Se logra realizar la presentación del Balance gestión 2014 de las metas de Plan Desarrollo Bogotá Humana 2012 -2016.
25. Se logra realizar la presentación de la Veeduría con las metas de Plan Desarrollo Bogotá Humana 2012 -2016. Cumplimiento Cuatrienio.
26. Capítulo de recepción de población víctima del conflicto armado
27. Matriz de gasto público y social del sector salud para la implementación de la Política Pública de Infancia Adolescencia 2012 a 2014 y proyección presupuestal 2015-2016
28. Documento conteniendo el diseño estadístico de muestreo, metodología y plan de análisis, para validar el estudio " el INSIGHT como factor pronóstico del riesgo suicida en Bogotá Distrito Capital".
29. Documento Serie Estadística de población de Bogotá y población Subsidiada y población Pobre No Asegurada a Salud (PPNA, vinculada), según Localidades 2008 – 2014; y Proyecciones 2016- 2020; Serie Estadística Población área de influencia Hospital ESE adscrito red pública SDS 2014.
30 Documentos finales de análisis de información de EDA y desnutrición pendiente revisión.
31. Documento Serie Estadística de casos y tasas de Mortalidades evitables 2008 – 2014, como insumo para estimar las funciones.
32. Documento conteniendo formulación de metodología estadística en los proyectos de investigación Colciencias Mortalidad Materna y Perinatal de Bogotá.</t>
    </r>
  </si>
  <si>
    <r>
      <t xml:space="preserve">HASTA JUNIO
</t>
    </r>
    <r>
      <rPr>
        <sz val="9"/>
        <rFont val="Arial Narrow"/>
        <family val="2"/>
      </rPr>
      <t xml:space="preserve">1. 18 documentos de cierres 2014 y las actualizaciones de los proyectos de inversión del Fondo Financiero Distrital de Salud para la apertura 2015, de acuerdo a los recursos asignados según POAI 
2. 218  proyectos de las Empresas Sociales del Estado evaluados y 72 inscritos.
3. Informe preliminar del Plan de Acción Distrital para la atención de la Población Victima del Conflicto Armado
4. Documento Mapa de Procesos de la Secretaría
5. Conferencia sobre Estrategias de Comunicación a personal correspondiente de Red Hospitalaria Distrital.
6. Matriz Indicadores de Salud y presentarlos a la Secretaría Distrital de Planeación.
7. Propuesta de temas de Salud del Distrito Capital para ser incluidas en el Plan Nacional de Desarrollo para la vigencia 2014 – 2018
8. Presentación del Tablero de control de la Entidad del periodo septiembre y octubre 2014.
9. Matriz de semaforización armonizado con la nueva estructura de la Entidad.
10. Caracterización del proceso de Planeación Sectorial
11. Matriz de seguimiento del Plan de Desarrollo Bogotá Humana articulado con el Plan Territorial de Salud, Plan de Contratación de la Secretaría Distrital de Salud de Bogotá D.C., Proyectos de Inversión del FFDS y de las Empresas Sociales del Estado, presupuestos productos metas y resultados [PMR] de la SDS
12. Documento análisis, seguimiento, ajustes y consolidación de Informe RUSICST, Informe Narrativo Y FUT I Trimestre de 2015 de las acciones en salud de la Población Victima del Conflicto Armado.
13. Semaforización de las metas del Plan de Desarrollo por cada una de las vigencias 2012 a 2014 del EJE 1 para responder a la Veeduría.
14. Fundamentación documental de: 
a. Circular 07 de 2009 
b. Circular 03 de 2012 
c. Decreto 2193 de 2004 
d. Circular 030 de 2013
15. Documento propuesta de análisis relacionada con la concordancia entre los sistemas de información RIPS y SIVIGILA (Avances en el documento de documento de análisis relacionada con la concordancia entre los sistemas de información RIPS y SIVIGILA para los eventos Tuberculosis, meningitis, sífilis congénita, VIH)
16. Documentos preliminares de análisis de información de neumonía y desnutrición, con inclusión de comportamiento de los eventos según sexo, localidad de residencia, IPS tendencia del evento, tipo de usuario, tipo de atención.
17. Documento de análisis a las metas de mortalidad propuestas en el Plan de Desarrollo, presentando las metas alcanzadas, que se podrán cumplir en la vigencia del Plan de Desarrollo Bogotá Humana y aquellas que no se lograrán alcanzar.
18. Documento de seguimiento al cumplimiento de las metas del Plan Desarrollo Bogotá Humana vigencia 2014.
19. Presentación del Balance gestión 2014 de las metas de Plan Desarrollo Bogotá Humana 2012 -2016.
20. Presentación de la Veeduría con las metas de Plan Desarrollo Bogotá Humana 2012 -2016. Cumplimiento Cuatrienio
21. Definición de la ruta de atención a población víctima del conflicto armado.
22. Proyección del gasto para la implementación de la Política Pública de Infancia Adolescencia 2012 a 2014
23. Pronóstico del riesgo suicida en Bogotá Distrito Capital
24 La SDS cuenta con los diferentes análisis e información y estadísticas de EDA, tasas de Mortalidades evitables 2008 – 2014 y Mortalidad Materna y Perinatal de Bogotá para la toma de decisiones. 
</t>
    </r>
  </si>
  <si>
    <t>Número de programas de mediano formulados e implementados</t>
  </si>
  <si>
    <t>Número de proyectos de inversión del  fondo Financiero Distrital de Salud formulados e implementados</t>
  </si>
  <si>
    <t xml:space="preserve">Número de anteproyectos de presupuesto del FFDS y de las ESE aprobados </t>
  </si>
  <si>
    <t>e04o02m02</t>
  </si>
  <si>
    <t>e04o02m02-617</t>
  </si>
  <si>
    <t>Acreditar la Secretaria Distrital de Salud como Dirección Territorial de Salud, al 2016.</t>
  </si>
  <si>
    <t>La acreditación de la SDS</t>
  </si>
  <si>
    <t>Esta meta se cumplió a Diciembre de 2014, teniendo en cuenta que el Artículo 3 del Decreto 903 de 2014 indica que "En el marco del Sistema Obligatorio de Garantía de Calidad de la Atención de Salud, se entiende que las Entidades Departamentales, Distritales y Municipales de Salud alcanzan el nivel superior de calidad con la certificación en la Norma Técnica de Calidad de la Gestión Pública NTCGP 1000:2009 o las normas que la modifiquen, adicionen o sustituyan, en concordancia con lo dispuesto en la Ley 872 de 2003", la cual fue obtenida por la SDS en el año 2011. Por lo tanto la SDS no deberá acreditarse para alcanzar niveles superiores de calidad.</t>
  </si>
  <si>
    <t>e04o02m03</t>
  </si>
  <si>
    <t>e04o02m03-617</t>
  </si>
  <si>
    <t>La certificación de la SDS</t>
  </si>
  <si>
    <r>
      <rPr>
        <b/>
        <sz val="8"/>
        <color indexed="8"/>
        <rFont val="Arial Narrow"/>
        <family val="2"/>
      </rPr>
      <t xml:space="preserve"> JUNIO:</t>
    </r>
    <r>
      <rPr>
        <sz val="8"/>
        <color indexed="8"/>
        <rFont val="Arial Narrow"/>
        <family val="2"/>
      </rPr>
      <t xml:space="preserve">
1. Planeación institucional: 
Se documentan las aclaraciones sobre la metodología de seguimiento al POA 2015 y se socializa por correo electrónico a los referentes de cada dependencia. De igual manera, se revisan las matrices de seguimiento POA de los meses abril – mayo reportadas a la fecha por las dependencias, se publican los seguimientos de la Subsecretaría de Salud Pública, se remiten observaciones de ajuste a la Dirección Financiera, se reitera a la Subsecretaría de Gestión Territorial, Participación y Servicio a la Ciudadanía y Dirección Análisis de Entidades Públicas el envío del seguimiento de los meses marzo a mayo. (Soporte: Utilidades / Dir. Planeación y sistemas / Dir. Planeación institucional y calidad / Seguimiento POA). Se solicita la entrega del reporte del mes de mayo el día 03/06/15.
Se brinda asesoría a la Dirección de Análisis de Entidades Públicas en relación con la metodología de formulación y reporte del POA. (05/06/15).
Se revisan indicadores transversales del SIG y reformularlos para que sean incluidos en el POA de todas las dependencias a partir de Julio 2015. 
2. Sistema de gestión de calidad:
Se continúa con la revisión de las plantillas de caracterización y procedimientos, al igual que con el proceso de migración de la gestión documental formalizada en el aplicativo Isolución con base en la nueva estructura organizacional y mapa de procesos. Así mismo, sobre este tema se realizan verificaciones sobre los posibles inconvenientes surtidos a lo largo del proceso y se realiza el debido reporte al ing. Luis Carlos Martínez para que proceda a realizar las acciones correctivas en el aplicativo ISOLUCION.
Con base en los diferentes reportes realizados por los gestores y referentes frente al proceso de migración documental, el Ing. Martínez realiza soporte y gestión de casos de ISOLUCION (41 casos reportados) durante lo corrido del mes. De igual manera, se realiza la revisión de la matriz de migración documental ajustada en aquellos documentos que presentaban inconsistencia en la codificación, actividad realizada en 6 procesos de apoyo, 1 proceso de evaluación y 1 proceso misional.
Frente al manejo de ISOLUCIÓN, se realiza capacitación a los gestores SIG de todos los procesos.
Se continúa con la socialización del nuevo mapa de procesos, para este mes se desarrolla capacitación en los procesos de Gestión en Salud Pública - Laboratorio de Salud Pública, Asegurar Salud, Gestión de Urgencias, Emergencias y Desastres, Calidad de Servicios de Salud y Provisión de Servicios de Salud, Gestión TIC, Gestión Bienes y Servicios, Gestión Financiera De igual manera, se realiza la tabulación de las pruebas de adherencia aplicadas a los procesos frente a estas capacitaciones
El proceso continúa con la actualización del normograma institucional de acuerdo con nuevo mapa de procesos. 
Se lleva a cabo reunión con gestores del proceso Gestión Salud Pública para verificar el reporte y acciones del producto no conforme. De igual manera, se realizó con los procesos de Gestión de Urgencias, Emergencias y Desastres, Provisión de Servicios, Calidad de Servicios de Salud y Asegurar Salud.
Se realiza verificación al avance de las acciones correctivas producto de las no conformidades determinadas en la Auditoria Icontec.
Conjuntamente con la Oficina de Control Interno, se da inicio al proceso de planeación de las Auditorías Internas de Calidad, donde la Dirección de Planeación Institucional realizará el acompañamiento técnico al equipo de Auditores de Calidad y participará en los ejercicios de campo en algunos de los procesos designados. Este trabajo incluye la revisión documental del proceso Evaluación, Seguimiento y Control a la Gestión en conjunto con el profesional delegado por el Líder de dicho proceso, la convocatoria al grupo auditor y el acompañamiento y revisión en el levantamiento de las listas de verificación, entre otros aspectos.
Se da inicio al proceso de acompañamiento de Trazabilidad de cuentas de Hospitales en las cuales participan: grupo Funcional de Despacho, TIC, Calidad, DUES, Salud Publica , Administrativa, Aseguramiento y Financiera, con el fin de unificar el procedimiento transversal a cargo del despacho y las direcciones, generar un instructivo, establecer oportunidades de mejora, agilización en la entrada de las cuentas a correspondencia y Cordis de Salud Pública y Aseguramiento, medición de tiempos y seguimiento a los últimos 12 meses del PAC de cada dirección, entre otras acciones.</t>
    </r>
  </si>
  <si>
    <r>
      <rPr>
        <b/>
        <sz val="9"/>
        <color indexed="8"/>
        <rFont val="Arial Narrow"/>
        <family val="2"/>
      </rPr>
      <t xml:space="preserve">HASTA JUNIO: </t>
    </r>
    <r>
      <rPr>
        <sz val="9"/>
        <color indexed="8"/>
        <rFont val="Arial Narrow"/>
        <family val="2"/>
      </rPr>
      <t xml:space="preserve">
1. Planeación Institucional - Con corte a junio se ha logrado:
Documento de aclaraciones de la metodología de seguimiento al POA 2015, Matrices de seguimiento POA Abril - mayo pendientes DUES y Jurídica; están publicadas en carpeta Utilidades / Dir. Planeación y sistemas / Dir. Planeación institucional y calidad / Seguimiento POA. 
Indicadores transversales del SIG revisados y reformularlos para que sean incluidos en el POA de todas las dependencias a partir de Julio 2015. 
2. Sistema de gestión de calidad - Con corte a junio se ha logrado:
Nuevos prototipos de plantillas de caracterización y procedimientos para ser incluidas en requerimientos de Isolución. 
Proceso de migración documental de los procesos de la entidad con base en la nueva estructura a un 50% para el mes de junio.
Verificación de avances frente a las acciones correctivas producto de la auditoria ICONTEC.
Cubrimiento del 100% de los procesos frente a la socialización del nuevo mapa de procesos de la entidad y aplicación de pruebas de adherencia.
Avance frente al cargue de normatividad de los procesos en el Normograma Institucional en un 70% con corte a junio.
Haber priorizado 4 procedimientos que son transversales en la entidad y que requieren de intervención.
Dar inicio al proceso de trazabilidad de pago cuentas hospitales con la participación activa de todos los procesos intervinientes.
Planificar la ejecución de las Auditorías Internas de Calidad, convocatoria al grupo auditor y verificación de gestión documental asociada al mismo.</t>
    </r>
  </si>
  <si>
    <r>
      <rPr>
        <b/>
        <sz val="8"/>
        <color indexed="8"/>
        <rFont val="Arial Narrow"/>
        <family val="2"/>
      </rPr>
      <t xml:space="preserve">HASTA JUNIO: 
</t>
    </r>
    <r>
      <rPr>
        <sz val="8"/>
        <color indexed="8"/>
        <rFont val="Arial Narrow"/>
        <family val="2"/>
      </rPr>
      <t>El porcentaje de cumplimiento de esta meta para la vigencia 2015 incluida en el proyecto equivale a un 15%, el cual fue divido en doce (12) meses lo que equivale a 1,25 mensual, según las actividades realizadas se calcula el cumplimiento mensual por lo tanto, el acumulado de enero a junio es de 6,7%.
1 Planeación Institucional - Con corte a junio se han obtenido los siguientes resultados:
Evitar que las dependencias que tienen a cargo proyectos de inversión no deban duplicar la información que reportan en matriz de SEGPLAN en la matriz del POA. 
Mejoras en la metodología de reporte del POA y su articulación con SEGPLAN.
Asesoría y asistencia técnica permanente para el reporte del POA.
A la fecha de presentación se tiene pendiente el POA de dos (2) procesos: DUES y Jurídica.  El seguimiento al mes de abril se tiene un 100%, a Mayo un 90%.
2. Sistema de Gestión de Calidad - Con corte a junio se han obtenido los siguientes resultados:
La revisión y seguimiento a procedimientos críticos ha permitido identificar oportunidades de mejora que benefician a la entidad y a los hospitales de la red pública.
Poder iniciar el proceso de actualización del manual de procesos y procedimientos conforme la nueva estructura organizacional.
Establecer el plan de trabajo para la ejecución de las Auditorias Internas de Calidad en la totalidad de los procesos de la Entidad.
Convocatoria al grupo de auditores capacitados por la Entidad para que participen en la ejecución de las auditorias internas de calidad.
Revisión documental asociada al proceso de Evaluación, Seguimiento y Control de la Gestión, específicamente lo relacionado con las Auditorias de Calidad.
Frente a las asesorías y asistencias técnicas, se lleva un acumulado durante lo corrido de la vigencia de 200 (enero - junio) en diferentes temas.</t>
    </r>
  </si>
  <si>
    <t>El porcentaje de cumplimiento de esta meta para la vigencia 2015 incluida en el proyecto equivale a un 15%, el cual fue divido en doce (12) meses lo que equivale a 1,25 mensual, según las actividades realizadas se calcula el cumplimiento mensual por lo tanto, el acumulado de enero a junio es de 6,7%.</t>
  </si>
  <si>
    <t>e04o03m01</t>
  </si>
  <si>
    <t>e04o03m01-617</t>
  </si>
  <si>
    <t xml:space="preserve">Número total de subsistemas implementados </t>
  </si>
  <si>
    <r>
      <rPr>
        <b/>
        <sz val="8"/>
        <color indexed="8"/>
        <rFont val="Arial Narrow"/>
        <family val="2"/>
      </rPr>
      <t>JUNIO:</t>
    </r>
    <r>
      <rPr>
        <sz val="8"/>
        <color indexed="8"/>
        <rFont val="Arial Narrow"/>
        <family val="2"/>
      </rPr>
      <t xml:space="preserve">
Subsistema Gestión Documental y Archivo
La Dirección de Planeación Institucional continua con el acompañamiento en las reuniones entre el Archivo Central y los gestores y referentes de archivo de cada proceso para dar a conocer los lineamientos para la actualización de las Tablas de Retención Documental (TRD) y elaboración de Cuadros de caracterización documental. 
Subsistema Gestión Ambiental: 
Se llevan a cabo diferentes campañas y actividades que fueron incluidas en el Plan Institucional de Gestión Ambiental (PIGA) y aprobadas por el Comité de Gestión Ambiental. Estas son: Participación y seguimiento a la entrega de plántulas de guayaba blanca como parte de las actividades de celebración de la semana ambiental-4 de junio de 2015, realización, asesoría y seguimiento a la actividad denominada: “5 ESES” realizada en la entidad principalmente en el área correspondiente a Planeación Institucional y calidad y de apoyo en el área de la Dirección de Calidad en Servicios de Salud-5 de junio de 2015 y presentación de resultados de evaluación y de evidencias fotográficas de los puestos de trabajo en el comité de Gestión Ambiental.
De igual manera, se continúa con el acompañamiento y participación en las reuniones del Comité Ambiental y del Comité del PIGHRS.
Generales a todos los subsistemas:
Elaboración de procedimiento Gestión de cumplimiento de lo legal, actualización del procedimiento de medición de satisfacción de cliente, propuesta de estructura link del Sistema Integrado de Gestión que se envía a comunicaciones, diseño y propuesta de mapa de riesgos de corrupción para ser avalado por el nivel directivo, actualización del MECI solicitud a las dependencias y recolección de la información para la actualización del mapa conceptual del MECI en el aplicativo ISOlución, reunión de articulación con los referentes jurídicos para establecer compromisos de entrega de actividades, diseño y desarrollo de estrategia de socialización de las políticas de seguridad de la información en conjunto con la dirección TIC y socialización mediante correo electrónico de la Enciclopedia Tomo 3 con los compañeros de la dirección de Planeación y Calidad.
Subsistema de Seguridad y Salud en el Trabajo:
La Dirección de Planeación Institucional participó en la revisión del proceso que definía los Indicadores de gestión del trimestre basado en la Guía de la Alcaldía de Planificación Operativa., también en la actividad de caracterización socio demográfica TH SDS y apoyó los temas de afiliación al SGRL Intervención de Peligros identificados y Prevención y preparación para la atención de Emergencias.</t>
    </r>
  </si>
  <si>
    <r>
      <rPr>
        <b/>
        <sz val="8"/>
        <color indexed="8"/>
        <rFont val="Arial Narrow"/>
        <family val="2"/>
      </rPr>
      <t>HASTA JUNIO:</t>
    </r>
    <r>
      <rPr>
        <sz val="8"/>
        <color indexed="8"/>
        <rFont val="Arial Narrow"/>
        <family val="2"/>
      </rPr>
      <t xml:space="preserve">
Con corte a junio se ha logrado en la implementación de los subsistemas: 
Subsistema de gestión ambiental:
Participación activa en las diferentes actividades programadas desde el Comité, con el fin de generar conciencia y articulación con los demás subsistemas.
Subsistema gestión documental y archivo:
Se logra orientar a todos los procesos en la actualización de los dos principales elementos del Subsistema de Gestión Documental y Archivo. 
Subsistema de seguridad de la información:
Se logra establecer una estrategia de socialización de las políticas de seguridad de la información.
Subsistema de seguridad y salud en el trabajo:
Se logra la definición de los indicadores de gestión con base en la Guía de la Alcaldía Mayor.
Se logra establecer la caracterización socio demográfica de TH para la SDS.
Subsistema de control interno:
Se adelantó una propuesta de mapa de riesgos de corrupción transversal para ser revisado y avalado por la alta dirección.
Actualización del MECI y mapa conceptual del mismo para ser incluido en ISOLUCION.
Generales a todos los subsistemas:
Elaboración y revisión en mesa de trabajo con la OCI y Jurídica del procedimiento Gestión de Cumplimiento de lo Legal. Actualización del procedimiento de medición de satisfacción del cliente.
</t>
    </r>
  </si>
  <si>
    <r>
      <rPr>
        <b/>
        <sz val="9"/>
        <color indexed="8"/>
        <rFont val="Arial Narrow"/>
        <family val="2"/>
      </rPr>
      <t>HASTA JUNIO</t>
    </r>
    <r>
      <rPr>
        <sz val="9"/>
        <color indexed="8"/>
        <rFont val="Arial Narrow"/>
        <family val="2"/>
      </rPr>
      <t xml:space="preserve">:
Mayor avance en la implementación de 3 de los 8 subsistemas que conforman el sistema integrado de gestión (Gestión ambiental, seguridad de la información, seguridad y salud en el trabajo) de acuerdo con los requerimientos exigidos en la norma NTD SIG 001:2011 y las directrices emitidas por la Secretaría General.
Implementación de acciones encaminadas al fortalecimiento de los subsistemas y al involucramiento de los servidores públicos vinculados a la SDS.
</t>
    </r>
  </si>
  <si>
    <t xml:space="preserve">
De acuerdo con los temas tratados en Comité del SIG se identificó que existe la problemática de no contar con el grupo completo de gestores y referentes para los temas del SIG, para lo cual se decide remitir memorando a todas las dependencias solicitando designen por proceso los referentes para cada uno de los temas.
</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</si>
  <si>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Código: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</si>
  <si>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Código: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</si>
  <si>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Código: 114 - PLI - FT -  061 V.01</t>
    </r>
  </si>
  <si>
    <t>Construir y poner en funcionamiento un sistema de Análisis y Evaluación y Políticas de Salud para el Distrito Capital como base para la formulación y ajuste de planes, programas y proyectos, al 2016.</t>
  </si>
  <si>
    <r>
      <rPr>
        <b/>
        <sz val="8"/>
        <rFont val="Tahoma"/>
        <family val="2"/>
      </rPr>
      <t>Junio:</t>
    </r>
    <r>
      <rPr>
        <sz val="8"/>
        <rFont val="Tahoma"/>
        <family val="2"/>
      </rPr>
      <t xml:space="preserve">
Actualización de Inventario de política públicas con fecha al mes de mayo en Isolución, listo para dar cuenta a los entes de control y apoyar el seguimiento interno.
Se subió la matriz de inventario de Políticas con los cambios al sistema Isolución con corte mayo.
Se construyó documento de ficha técnica para evaluación de impacto de políticas públicas, en el cual se incluyó apartado relacionado con la identificación de la cadena de valor (productos y resultados) que se comporta como insumo para el análisis de políticas públicas.
Se elaboró ficha técnica para asistencia técnica al proceso de evaluación.
Se concertó con la Subdirección de Evaluación y Gestión de políticas públicas la elaboración de los proyectos para evaluar las políticas de calidad de vida de los trabajadores y la de prevención de infecciones intrahospitalarias.
Se realizó reunión con la Subdirección de Evaluación y gestión de políticas públicas para concretar acuerdos de trabajo entre esta dirección y la Dirección de Planeación Sectorial en lo relacionado con la evaluación de políticas públicas y el análisis normativo distrital y nacional.</t>
    </r>
  </si>
  <si>
    <r>
      <rPr>
        <b/>
        <sz val="8"/>
        <rFont val="Tahoma"/>
        <family val="2"/>
      </rPr>
      <t>Junio:</t>
    </r>
    <r>
      <rPr>
        <sz val="8"/>
        <rFont val="Tahoma"/>
        <family val="2"/>
      </rPr>
      <t xml:space="preserve"> En el momento hay transición de referentes de las políticas públicas debido a asuntos contractuales.</t>
    </r>
  </si>
  <si>
    <r>
      <rPr>
        <b/>
        <sz val="8"/>
        <rFont val="Tahoma"/>
        <family val="2"/>
      </rPr>
      <t>Junio:</t>
    </r>
    <r>
      <rPr>
        <sz val="8"/>
        <rFont val="Tahoma"/>
        <family val="2"/>
      </rPr>
      <t xml:space="preserve">
*Se consultó y actualizó la normatividad pertinente al proceso de políticas públicas y el sector salud.
*Se incorporó al normograma la Resolución 1868 de 2015 en relación con cáncer y la Ley 1752 de 2015, relacionada con discapacidad. También se agregó la Ley 1753 de 2015 sobre el Plan Nacional de Desarrollo 2014-2018.
*Se realizó documento de redes especializadas, como parte del legado de la Administración actual para el futuro de  Bogotá.
*Se elaboró ficha técnica para evaluación de políticas públicas y se envió taller de planes de acción a las referentes de salud mental, salud oral, infecciones intrahospitalarias y calidad de vida de los trabajadores.
*Se realizo socialización con  el grupo de interdirecciones de políticas públicas  de  la ley 1753 por la cual se adopta el Plan Nacional de Desarrollo Todos por un nuevo país 2014-2018 y la Resolución 1868 de 2015 respectivamente.
*Se cuenta con una propuesta de comunicación para políticas públicas (normas) preparada con el referente de comunicaciones de la Dirección
*Se canalizó a través de los referentes del grupo de políticas, los proyectos de Ley que inciden en salud, hacia los referentes técnicos que manejan tales temas.
*se realiza, la matriz de gasto público y social del sector salud para la implementación de la Política Pública de Infancia Adolescencia para los años 2012 a 2014 y proyección presupuestal 2015-2016.</t>
    </r>
  </si>
  <si>
    <r>
      <rPr>
        <b/>
        <sz val="8"/>
        <rFont val="Tahoma"/>
        <family val="2"/>
      </rPr>
      <t>Junio:</t>
    </r>
    <r>
      <rPr>
        <sz val="8"/>
        <rFont val="Tahoma"/>
        <family val="2"/>
      </rPr>
      <t xml:space="preserve">
*Se revisó y consolidó compendio de programas y proyectos del Plan Nacional de Desarrollo 2014-2018 para Bogotá. 
*Actualización de Inventario de política públicas con fecha al mes de mayo en Isolución, listo para dar cuenta a los entes de control y apoyar el seguimiento interno.
*Se trabajó con la subdirección de evaluación y gestión de políticas públicas en la revisión de la Ley 1753 de 2015.
*Se identificaron los logros en salud dentro del Plan Nacional de Desarrollo “Todos por un Nuevo País” 2014-2018.
*De manera conjunta con la Subsecretaría de Salud Pública se realizan y consolida la matriz que contiene los 36 indicadores que dan cuenta de la gestión de la SDS para la implementación de la Política de Infancia y Adolescencia y los 10 indicadores de Juventud. Se presenta el comportamiento de dicho indicadores para las vigencias 2012-2014 así como el análisis de su comportamiento.
</t>
    </r>
  </si>
  <si>
    <r>
      <rPr>
        <b/>
        <sz val="8"/>
        <color indexed="8"/>
        <rFont val="Tahoma"/>
        <family val="2"/>
      </rPr>
      <t xml:space="preserve">Junio: </t>
    </r>
    <r>
      <rPr>
        <sz val="8"/>
        <color indexed="8"/>
        <rFont val="Tahoma"/>
        <family val="2"/>
      </rPr>
      <t xml:space="preserve">Se realizó asesoría y asistencia técnica en seguimiento, y monitoreo de poyectos de inversión local de salud a las localidades en los proyectos que se relacionan a continuación:
Ciudad Bolivar:erechos sexuales y reproductivos 0,30% avance fisico y 1,88% Financiero.
discapacidad fisica y cognitiva  1,68%  fisico y 2,37%  financiero.
Usme:2014 Banco de ayudas tecnicas fisico 71% y financiera 41%. vectores 100%  fisico, y financiero.  Promoción y Prevención 100%. Salud Oral: Fisico 100% y financiero 90%.
Puente Aranda:    Componente de Salud Oral:  El contrato de suministros de insumos se ejecuto al 100%. Ayudas Técnicas: Ejecución Física 15,05% . 
Kennedy:  Componente de Salud mental, Salud Nuticional y Banco de ayudas Técnicas (PyP) Vigencia 2013: Ejecución física 99%.  
Componente de control de vectores:  física acumulada 70%. Adición Vigencia 2014:  física acumulada 15%. 
Fontibón:  
Componente Ambito Escolar: fisica 20% 
Componente de Control de vectores: Ejecución física acumulada 15% 
Componente de Salud sexual y reproductiva: Ejecución física acumulada 35%. 
Componente Ayudas Técnicas: Ejecución física acumulada 33%
Santafé:
Convenio Interadministrativo CIA 104-2013 Ortodoncia 49,16% 
CIA 060-2013 SAMA Santafé Adicion y prorroga recursos 2013-2014 Ejecución Final 97,27%
CIA 077-2014  Banco de Ayudas Técnicas 91,73%
CIA 075/2014  Ruta Saludable 56%
CIA 079/2014  Promoción y prevencion.  28,19%
CIA 135/14  COPACO Ejecución Final 100%
Candelaria:
CIA 148/2014 Tenencia de mascotas 15,42%
CIA 080-2014 Banco de Ayudas Técnicas  90,28%
CIA 079-2014 Promoción y Prevención 80,85%
CIA 132-2014 Hidroterapia e hipoterapia 7%
Rafael Uribe:
Convenio de Asociación CAS 131/2014  Salud Oral persona adulta 23%
CIA 129-2014  Banco de Ayudas Tecnicas 6,86%
Antonio Nariño:
CIA 143-2014  Salud Sexual y Reproductiva 46%, Salud Oral 16% y Salud Mental 41%
CIA 125-2014  Banco de Ayudas Técnicas 12%
Martires:
CIA 113-2014 : Banco de Ayudas técnicas, Vacunación No POS, Salud oral, Salud Sexual, Programas de atención y formación sexual y reproductiva Prevención de consumo de SPA y Jornadas de esterilización, vacunación, identificación y adopción de caninos y felinos.  6,51%
</t>
    </r>
  </si>
  <si>
    <t xml:space="preserve">Evaluación de las políticas de salud incorporadas en los planes locales a través de la implementación de las estrategias </t>
  </si>
  <si>
    <r>
      <rPr>
        <b/>
        <sz val="8"/>
        <color indexed="8"/>
        <rFont val="Tahoma"/>
        <family val="2"/>
      </rPr>
      <t>Junio:</t>
    </r>
    <r>
      <rPr>
        <sz val="8"/>
        <color indexed="8"/>
        <rFont val="Tahoma"/>
        <family val="2"/>
      </rPr>
      <t>Se trabaja en coordinación con los grupos funcionales de salud mental y discapacidad para hacer seguimiento a la incorporación de políticas en planes locales y líneas de inversión de UEL. Adicionalmente se coordina con referentes de salud pública de Salud Sexual y Reproductiva y salud ambiental para coordinar líneas técnicas de los proyectos UEL.</t>
    </r>
  </si>
  <si>
    <t>Insuficiencia de personal en las redes territoriales para el ejercicio de la función</t>
  </si>
  <si>
    <r>
      <rPr>
        <b/>
        <sz val="8"/>
        <color indexed="8"/>
        <rFont val="Tahoma"/>
        <family val="2"/>
      </rPr>
      <t xml:space="preserve">Junio: </t>
    </r>
    <r>
      <rPr>
        <sz val="8"/>
        <color indexed="8"/>
        <rFont val="Tahoma"/>
        <family val="2"/>
      </rPr>
      <t xml:space="preserve"> Se han desarrollado las líneas de inversión local definidas para el sector: 1. Promoción y prevención: Salud Mental,  vacunación, promoción de salud, salud oral
2. Promoción de la exigibilidad del derecho
3. Atención integral a personas en condición de discapacidad- Banco de ayudas técnicas.
4. Vigilancia y control en salud pública: Vectores y roedores
5. Cuidado y manejo de mascotas
Y las líneas transectoriales:
1. Prevención de consumo de sustancias psicoactivas
2. Promoción y prevención en el marco de derechos sexuales y reproductivos
</t>
    </r>
  </si>
  <si>
    <t xml:space="preserve">% de avance en la gestión, asesoría, apoyo técnico y administrativo para la destinación de recursos en salud, por parte de los Fondos de Desarrollo local.
</t>
  </si>
  <si>
    <r>
      <rPr>
        <b/>
        <sz val="8"/>
        <color indexed="8"/>
        <rFont val="Tahoma"/>
        <family val="2"/>
      </rPr>
      <t xml:space="preserve">Junio: </t>
    </r>
    <r>
      <rPr>
        <sz val="8"/>
        <color indexed="8"/>
        <rFont val="Tahoma"/>
        <family val="2"/>
      </rPr>
      <t xml:space="preserve"> Articulación con las alcaldías locales para nuevos proyectos y recursos establecidos en los planes de desarrollo local para vigencia 2015. </t>
    </r>
  </si>
  <si>
    <t>es importante que las Alcaldías locales formulen proyectos para la vigencia 2015 antes de la Ley de garantías. Algunas Alcaldías como Usme, Engativá, Barrios Unidos, Santa Fe, Mártires, Bosa, Tunjuelito, San Cristóbal, Suba no han enviado proyectos pa</t>
  </si>
  <si>
    <t xml:space="preserve">Porcentaje de avance en la formulación e  implementación de estrategias para la sostenibilidad  financiera de la política pública del sector salud
</t>
  </si>
  <si>
    <r>
      <rPr>
        <b/>
        <sz val="8"/>
        <rFont val="Tahoma"/>
        <family val="2"/>
      </rPr>
      <t>Junio:</t>
    </r>
    <r>
      <rPr>
        <sz val="8"/>
        <rFont val="Tahoma"/>
        <family val="2"/>
      </rPr>
      <t xml:space="preserve">
*Realizo ajustes al Plan Financiero con bases en las observaciones del Ministerio de Salud y Protección Social y demás entes verificadores, dando cumplimiento a la metodología dada en la Resolución 4015 de 2013
*Actualización del Plan Financiero Plurianual Territorial de forma conjunta con los demás funcionarios de la Secretaria  Distrital de Salud que tengan relación 
*Preparar y consolidar la información financiera para la elaboración de la proyección del presupuesto para el año 2016 del FFDS.
*Elaborar el análisis comparativo 2014/2015 del presupuesto de gastos de funcionamiento e inversión  asignado y ejecutado. </t>
    </r>
  </si>
  <si>
    <t xml:space="preserve">Porcentaje de avance en el diseño e implementación de estrategias de financiamiento para garantizar el cumplimiento de las metas del Plan Territorial de Salud y el Plan de Desarrollo "Bogotá Humana" 2012-2016
</t>
  </si>
  <si>
    <r>
      <rPr>
        <b/>
        <sz val="8"/>
        <rFont val="Tahoma"/>
        <family val="2"/>
      </rPr>
      <t>Junio:</t>
    </r>
    <r>
      <rPr>
        <sz val="8"/>
        <rFont val="Tahoma"/>
        <family val="2"/>
      </rPr>
      <t xml:space="preserve">
Se realizó el análisis a las solicitudes de ajustes presupuestales en el marco del Decreto 195/07, Circular SDS 020 de 2011 e Instructivo SDH 002 de 2007;   y se emitieron 16 conceptos de modificaciones presupuestales 
 Con respecto a NIIF:
*Se realiza primera ronda de capacitación y socialización del programa piloto adelantado por la Dirección Distrital de Contabilidad en los hospitales Santa Clara y Usaquén, a los 20 hospitales restantes de la red pública distrital.
*Se crea aula virtual como instrumento de comunicación para facilitar el proceso de implementación de las NIIF en los 22 hospitales de la red pública distrital.
INDICADORES FINANCIEROS / PSFF/ PDIFF
*Se realizo seguimiento y análisis al cumplimiento de las medidas adoptadas  en los Programas de Saneamiento Fiscal y Financiero y a los Planes de  Desempeño Institucional, Fiscal y Financiero, con corte a 31 de Marzo de 2015.
*Se realizaron Mesas de crisis para análisis de la situación actual del Hospital San Blas en tres componentes: Análisis presupuestal , Análisis de servicios y necesidad de recursos
Se dio Inicio de las mesas  de crisis de las ESE: Meissen, Centro oriente y Bosa. 
*Se estructura la metodología para el levantamiento de los costos Unitarios CUPS con base en la prueba piloto  de 160 Costos Unitarios CUPS ya identificados . 
*Se continua depurando la información de Producción CUPS con las diferentes Empresas.
*Se cuenta con la información de Costos del primer Trimestre de las 22 ESE , para ser consolidada, analizada  y puesta en conocimiento de los resultados a la Dirección, a las Gerencias de las Empresas y a Secretaria de Hacienda. 
* Elaboración de la presentación en la parte financiera para comité de gerentes, sobre el  resultado del seguimiento con corte Diciembre de 2014 de los PSFF, y los PDIFF.</t>
    </r>
  </si>
  <si>
    <t>Asesoría y seguimiento a las Empresas Administradoras  de los  Planes de Beneficios - EAPB en el proceso de implementación y ejecución de lo contemplado en el Plan Territorial de Salud 2012-2016</t>
  </si>
  <si>
    <r>
      <rPr>
        <b/>
        <sz val="8"/>
        <rFont val="Tahoma"/>
        <family val="2"/>
      </rPr>
      <t>JUNIO:</t>
    </r>
    <r>
      <rPr>
        <sz val="8"/>
        <rFont val="Tahoma"/>
        <family val="2"/>
      </rPr>
      <t xml:space="preserve">
Participación en la reunión semanal del grupo interdirecciones de las EAPB.
Preparación de la mesa de aseguradoras.
Análisis de los temas a tratar en la mesa de aseguradoras.
Revisión de indicadores del Plan  Territorial de Salud cuya responsabilidad es de las EAPB.  
Asesoría técnica a las EAPB en el desarrollo de las acciones que le aportan al Plan Territorial de Salud por medio de las mesas de aseguradoras que se llevan cabo de forma mensual .
</t>
    </r>
  </si>
  <si>
    <r>
      <rPr>
        <b/>
        <sz val="8"/>
        <rFont val="Tahoma"/>
        <family val="2"/>
      </rPr>
      <t>JUNIO:</t>
    </r>
    <r>
      <rPr>
        <sz val="8"/>
        <rFont val="Tahoma"/>
        <family val="2"/>
      </rPr>
      <t xml:space="preserve">
*Se revisó el seguimiento técnico financiero de los 18 proyectos de inversión del Fondo Financiero Distrital de Salud con corte a Junio 30 de 2015.
*Ajustes al documento preliminar Balance de resultados 2012-2014, con énfasis en las metas del PIC ( que incluye los Proyectos de Inversión 869- Salud Para el Buen Vivir y el 885- Salud Ambiental)
* Se realiza la actualización en las fichas EBI correspondiente al seguimiento con corte al mes de mayo(financiero)
* Se generan los reportes de definitivos de los componentes de gestión, inversión, actividades y territorialización para realizar la revisión y ajustes en común acuerdo con la Secretaría de Planeación Distrital.
</t>
    </r>
    <r>
      <rPr>
        <sz val="8"/>
        <color indexed="10"/>
        <rFont val="Tahoma"/>
        <family val="2"/>
      </rPr>
      <t xml:space="preserve">* Se realizan los ajustes pertinentes a las matrices de seguimiento del Plan de Desarrollo Bogotá Humana por proyectos para realizar el seguimiento al mes de Mayo de 2015.
* Se realiza matriz de análisis a la ejecución por Proyecto de Inversión del Fondo Financiero Distrital de Salud, con corte a mayo 30 de 2015.
</t>
    </r>
    <r>
      <rPr>
        <sz val="8"/>
        <color indexed="10"/>
        <rFont val="Tahoma"/>
        <family val="2"/>
      </rPr>
      <t xml:space="preserve">
</t>
    </r>
  </si>
  <si>
    <t>Evaluados: 218
Inscritos: 72</t>
  </si>
  <si>
    <r>
      <rPr>
        <b/>
        <sz val="8"/>
        <rFont val="Tahoma"/>
        <family val="2"/>
      </rPr>
      <t>JUNIO:
*</t>
    </r>
    <r>
      <rPr>
        <sz val="8"/>
        <rFont val="Tahoma"/>
        <family val="2"/>
      </rPr>
      <t xml:space="preserve">Se realiza análisis, de los proyectos inscritos en Plan Bienal de Inversiones en Salud, realizando los respectivos conceptos integrales, los cuales se direccionan al Ministerio de Salud y Protección Social, para concepto técnico de viabilidad.
*Con base en la evaluación realizada a cada uno de los proyectos de inversión presentados por las Empresas Sociales del Estado.  Se emitieron durante el periodo de junio  20 conceptos técnicos.
*Se brindaron las respectivas asesorías y asistencia técnica  a los referentes de proyectos de las Empresas Sociales del Estado, para consolidar las cuatro carpetas, las cuales se presentaran al Ministerio de Salud y Protección Social, para evaluación técnica.  La Victoria, Kennedy, Fontibon, Tunjuelito.
* Se da Asesoría y asistencia a las ESE en todo lo referente a para la formulación, seguimiento y  evaluación de proyectos de las Empresas Sociales del Estado de la red adscrita. Se revisaron 128 proyectos, así: , Bosa 3Centro Oriente 3, Chapinero 1,  Engativá 2, Fontibón 4, H del Sur 2, Kennedy 10, Meissen 3, Pablo VI 7, Rafael Uribe 19, San Blas 6, San Cristóbal 8, Santa Clara 2, Simón Bolívar 4, Suba 6,  Tunal 2,Tunjuelito 6, Usaquen 3,  Usme 14, Victoria 11 y Vista Hermosa 12.
</t>
    </r>
  </si>
  <si>
    <t xml:space="preserve">INDICADOR: % de avance en la articulación de acciones  con las diferentes instancias de coordinación sectoriales e intersectoriales para el seguimiento de políticas de salud.
</t>
  </si>
  <si>
    <r>
      <rPr>
        <b/>
        <sz val="8"/>
        <rFont val="Tahoma"/>
        <family val="2"/>
      </rPr>
      <t>JUNIO:</t>
    </r>
    <r>
      <rPr>
        <sz val="8"/>
        <rFont val="Tahoma"/>
        <family val="2"/>
      </rPr>
      <t xml:space="preserve">
*Con el propósito de apoyar las acciones de programación, seguimiento y evaluación de los programas y proyectos locales, se realiza el seguimiento y aprobación  a los proyectos de inversión de las metas relacionadas con Infancia y Adolescencia  para cada una de las localidades, correspondientes a los meses de  marzo y abril  de 2015
* Revisión y análisis de los indicadores de gestión del sector salud   y  ajuste a los indicadores del grupo de RIPS con la Alta Consejería.
*Consolidacion informe de Gestion preliminar 2012-2014.
* Participacion en la elaboración de la metodología y en la matriz - Balance de la Política de SPA”. 
*Participacion en la elaboración del documento preliminar de la formulación de la Politica de Habitante de Calle. 
*Se realiza el seguimiento y evaluación a la implementación del Plan de acción Política de Infancia y Adolescencia 2012-2016, sector salud .
</t>
    </r>
  </si>
  <si>
    <t>Implementación de directrices y lineamientos impartidos por organismos de  dirección, vigilancia y control en salud, del orden distrital y nacional.</t>
  </si>
  <si>
    <t xml:space="preserve">INDICADOR: % de avance en la implementación de directrices y lineamientos impartidos por organismos de dirección, vigilancia y control.
</t>
  </si>
  <si>
    <r>
      <rPr>
        <b/>
        <sz val="8"/>
        <rFont val="Tahoma"/>
        <family val="2"/>
      </rPr>
      <t xml:space="preserve">JUNIO:
</t>
    </r>
    <r>
      <rPr>
        <sz val="8"/>
        <rFont val="Tahoma"/>
        <family val="2"/>
      </rPr>
      <t xml:space="preserve">*Realizar el seguimiento mensual al  Presupuesto Orientado a Resultados - POR con corte a Mayo 31 del  2015 de la Secretaría Distrital de Salud y del Fondo Financiero Distrital.  
*Se reviso la matriz del presupuesto asignado y ejecutado periodo 2012-2016 para cada una  de las metas y actividades asociadas a la política  pública de Infancia y Adolescencia. 
*Elaborar documento análisis situación del sector salud en Bogotá D. C. y prospectivas periodo 2016-2020.
* Se diligenciaron los formatos para la Contraloría de Bogotá de la Dirección de Planeación Sectorial de las novedades contractuales del mes de mayode 2015.
* Diligenciar la matriz del POA de avance mensual de Mayo de 2015.
*Se realizó la matriz con las precisiones de las metas plan de desarrollo sin recursos para la vigencia 2014. Solicitado por Secretaría Distrital de planeación.
*Se realizó matriz con la solicitud de la Directiva 009 de 2015.
* Se realizó el cruce de metas del Decreto 3039 de 2007 Plan Nacional de Salud Pública, Resolución 425 de 2008, Plan de Desarrollo y Plan Territorial de salud Acuerdo 489 de 2012.
* Elaboración de presentación de cumplimiento de metas a 31 de diciembre de 2014 para la Secretaría Distrital de Planeación. </t>
    </r>
  </si>
  <si>
    <t xml:space="preserve">INDICADOR: % de avance en el desarrollo de estrategias propuestas para optimizar recursos humanos, financieros y técnicos destinados a la implementación de políticas de salud.
</t>
  </si>
  <si>
    <r>
      <rPr>
        <b/>
        <sz val="8"/>
        <rFont val="Tahoma"/>
        <family val="2"/>
      </rPr>
      <t xml:space="preserve">JUNIO: 
</t>
    </r>
    <r>
      <rPr>
        <sz val="8"/>
        <rFont val="Tahoma"/>
        <family val="2"/>
      </rPr>
      <t xml:space="preserve">Revisión y evaluar los avances, seguimientos del tablero de control y grupos poblacionales.
Matriz con las precisiones de las metas plan de desarrollo sin recursos para la vigencia 2014. Solicitado por Secretaría Distrital de planeación.
Se realizó la propuesta presentación de logros del Plan de Desarrollo Bogotá Humana 2012-2016.
Se realizó la consolidación del componente técnico y financiero de 17 proyectos del FFDS correspondiente a los meses de febrero y marzo de 2015
</t>
    </r>
  </si>
  <si>
    <r>
      <rPr>
        <b/>
        <sz val="8"/>
        <rFont val="Tahoma"/>
        <family val="2"/>
      </rPr>
      <t>JUNIO:</t>
    </r>
    <r>
      <rPr>
        <sz val="8"/>
        <rFont val="Tahoma"/>
        <family val="2"/>
      </rPr>
      <t xml:space="preserve">
*Elaboración reporte de resultados RIPS, aprobados o rechazados según validación por día para las distintas redes: Red Adscrita, Escolaridad y Red de Urgencias. 
*Actualización en el documento de análisis de concordancia entre los sistemas de información RIPS y SIVIGILA para los eventos Tuberculosis, meningitis, sífilis congénita, VIH en aspectos relacionados con la búsqueda de datos asociados con las atenciones para los eventos de análisis en el aplicativo SISPRO, con la finalidad establecer el índice de kappa para cada uno de ellos.
*Actualización de el documento de Modelo estadístico epidemiológico seguimiento a evento mortalidad materna en Bogotá periodo 2012 - 2014 
en aspectos relacionados con hallazgos, conclusiones.
*Ajuste y  documentación de la matriz de Plan de análisis de información de forma mensual con base en los datos reportados en los RIPS durante este periodo, para las siguientes salidas.( enfermedades huérfanas, trastornos del sueño.
*Consolidación de la información para incluir en el Boletín de estadísticas del año 2014 de las siguientes Direcciones o áreas Misionales: Laboratorio de salud pública, aseguramiento, SISVAN. 
*Documentos finales de análisis de información de EDA y desnutrición pendiente revisión.
</t>
    </r>
  </si>
  <si>
    <r>
      <rPr>
        <b/>
        <sz val="8"/>
        <rFont val="Tahoma"/>
        <family val="2"/>
      </rPr>
      <t>JUNIO:</t>
    </r>
    <r>
      <rPr>
        <sz val="8"/>
        <rFont val="Tahoma"/>
        <family val="2"/>
      </rPr>
      <t xml:space="preserve">
* Elaboración del documento de informe definitivo del Acuerdo 489 de 2012 con el análisis y comportamiento de las metas de impacto, mortalidad evitable por localidad en el distrito capital. El análisis se realiza con corte a diciembre de 2014. 
*Elaboración y actualización de matriz serie de tiempo del comportamiento de la mortalidad evitable en el distrito capital. La serie de tiempo se presenta por localidad en el periodo 2001 a 2014.
*Documento Serie Estadística de casos y tasas de Mortalidades evitables 2008 – 2014, como insumo para estimar las funciones.
*Documento conteniendo formulación de metodología estadística en los proyectos de investigación Colciencias Mortalidad Materna y Perinatal de Bogotá. </t>
    </r>
  </si>
  <si>
    <t>Análisis, seguimiento y evaluación de los compromisos contemplados en el Plan Territorial de salud y el Plan de Desarrollo Bogotá Humana 2012-2016</t>
  </si>
  <si>
    <r>
      <rPr>
        <b/>
        <sz val="8"/>
        <rFont val="Tahoma"/>
        <family val="2"/>
      </rPr>
      <t>JUNIO:</t>
    </r>
    <r>
      <rPr>
        <sz val="8"/>
        <rFont val="Tahoma"/>
        <family val="2"/>
      </rPr>
      <t xml:space="preserve">
*Análisis de las metas propuestas en el Plan de Desarrollo “Bogotá Humana” y del Plan Territorial de Salud, clasificando las metas cumplidas y las que se encuentran retrasadas en el logro, igualmente se clasificaron las metas con inclusión de códigos para facilitar el seguimiento y análisis.
*Actualización del avance de las metas, propuestas en el Plan de Desarrollo. Las metas se clasifican y codifican para el analisis comparativo de metas de impacto, del Plan de Desarrollo 2012-2016 y del Plan Territorial de Salud.
* Se realizo el seguimiento al cumplimiento de las metas del Plan Desarrollo Bogotá Humana vigencia 2015.
* Documento conteniendo la estimación estadística valorizada  de población Bogotá  subsidiada 2014, como insumo para la planeación de redes.
</t>
    </r>
  </si>
  <si>
    <r>
      <rPr>
        <b/>
        <sz val="8"/>
        <rFont val="Tahoma"/>
        <family val="2"/>
      </rPr>
      <t>JUNIO:</t>
    </r>
    <r>
      <rPr>
        <sz val="8"/>
        <rFont val="Tahoma"/>
        <family val="2"/>
      </rPr>
      <t xml:space="preserve">
* Durante el mes de junio,  se realizó un análisis de las líneas de inversión para el sector salud de las Localidades.</t>
    </r>
  </si>
  <si>
    <t xml:space="preserve">Acreditar la Secretaria Distrital de Salud como Dirección Territorial de Salud, al 2016. </t>
  </si>
  <si>
    <t>Asistencia técnica a los grupos de Acreditación de la SDS para la  autoevaluación  de estándares de acreditación y el diseño de los planes de mejoramiento</t>
  </si>
  <si>
    <t xml:space="preserve">Número de asistencias técnicas para la acreditación en salud
</t>
  </si>
  <si>
    <t>Autoevaluación anual de Acreditación  en salud de la SDS</t>
  </si>
  <si>
    <t xml:space="preserve">Número  de Autoevaluaciones de acreditación /año </t>
  </si>
  <si>
    <t>Implementación de planes de acreditación en salud</t>
  </si>
  <si>
    <t>Planes de mejora de acreditación implementados</t>
  </si>
  <si>
    <t xml:space="preserve">Diseño ejecución e implementación de lineamientos y directrices institucionales para la sostenibilidad y mejora continua del SGC </t>
  </si>
  <si>
    <r>
      <t>% de avance de lineamientos</t>
    </r>
    <r>
      <rPr>
        <sz val="9"/>
        <color indexed="8"/>
        <rFont val="Calibri"/>
        <family val="2"/>
      </rPr>
      <t xml:space="preserve"> </t>
    </r>
    <r>
      <rPr>
        <b/>
        <sz val="9"/>
        <color indexed="8"/>
        <rFont val="Calibri"/>
        <family val="2"/>
      </rPr>
      <t>institucionales para la sostenibilidad y mejora continua del SGC</t>
    </r>
    <r>
      <rPr>
        <sz val="9"/>
        <color indexed="8"/>
        <rFont val="Calibri"/>
        <family val="2"/>
      </rPr>
      <t xml:space="preserve">
</t>
    </r>
  </si>
  <si>
    <r>
      <rPr>
        <b/>
        <sz val="8"/>
        <rFont val="Tahoma"/>
        <family val="2"/>
      </rPr>
      <t>JUNIO:</t>
    </r>
    <r>
      <rPr>
        <sz val="8"/>
        <rFont val="Tahoma"/>
        <family val="2"/>
      </rPr>
      <t xml:space="preserve">
Con respecto al proceso de planeación institucional se continua con la revisión mensual de los reportes de seguimiento al POA de los meses abril - mayo 2015, se brinda asesoría a la Dirección de Análisis de Entidades Públicas en relación con la metodología de formulación y reporte del POA, se documentan las aclaraciones de la metodología de seguimiento al POA 2015.
Se realizan verificaciones sobre los posibles inconvenientes surtidos a lo largo del proceso de migración de la gestión documental y se reportan al ing. Luis Carlos Martínez para que proceda a realizar las accIones correctivas en el aplicativo ISOLUCION.</t>
    </r>
  </si>
  <si>
    <t>Monitoreo en las direcciones el cumplimiento de los lineamientos para el mantenimiento y  mejoramiento del  Sistema de Gestión de Calidad institucional.</t>
  </si>
  <si>
    <r>
      <t xml:space="preserve">%  de cumplimiento de las actividades realizadas por las direcciones </t>
    </r>
    <r>
      <rPr>
        <sz val="9"/>
        <color indexed="8"/>
        <rFont val="Calibri"/>
        <family val="2"/>
      </rPr>
      <t xml:space="preserve">
</t>
    </r>
  </si>
  <si>
    <r>
      <rPr>
        <b/>
        <sz val="8"/>
        <rFont val="Tahoma"/>
        <family val="2"/>
      </rPr>
      <t>JUNIO:</t>
    </r>
    <r>
      <rPr>
        <sz val="8"/>
        <rFont val="Tahoma"/>
        <family val="2"/>
      </rPr>
      <t xml:space="preserve">
Se reaiza soporte y gestión de casos de ISOLUCIÓN, con base en los diferentes reportes realizados por los gestores y referentes frente al proceso de migración documental (41 casos reportados) durante lo corrido del mes. De igual manera, se realiza la revisión de la matriz de migración documental ajustada en aquellos documentos que presentaban inconsistencia en la codificación, actividad realizada en  6 procesos de apoyo, 1  proceso de evaluación y 1  proceso misional.
Frente al manejo de ISOLUCIÓN, se realiza capacitación a los gestores SIG de todos los procesos.</t>
    </r>
  </si>
  <si>
    <t xml:space="preserve">Asesoría y asistencia técnica a las dependencias de la SDS en la formulación de las acciones de mejora para la sostenibilidad del  SGC </t>
  </si>
  <si>
    <t xml:space="preserve">Número de asesorías y asistencias técnicas en SGC </t>
  </si>
  <si>
    <r>
      <rPr>
        <b/>
        <sz val="8"/>
        <rFont val="Tahoma"/>
        <family val="2"/>
      </rPr>
      <t>JUNIO:</t>
    </r>
    <r>
      <rPr>
        <sz val="8"/>
        <rFont val="Tahoma"/>
        <family val="2"/>
      </rPr>
      <t xml:space="preserve">
Durante el mes de junio se realizaron 70 asesorías en temas de: actualización de formatos en todos los procesos de la Entidad, resolución de casos isolución reportados por usuarios, asesorías sobre metodología de formulación y reporte del POA, aclaraciones y asesorías sobre proceso de migración documental y actualización de la gestión documental, indicadores transversales del SIG, generalidades del SIG a nuevos referentes y gestores, levantamiento de nuevos procedimientos, tratamiento producto no conforme, actividades de los subsistemas integrados y acciones correctivas producto de auditoria ICONTEC, entre otros.</t>
    </r>
  </si>
  <si>
    <t xml:space="preserve">Planeación de las actividades para la implementación de los subsistemas del SIG </t>
  </si>
  <si>
    <t xml:space="preserve">Plan anual del Sistema Integrado de Gestión formalizado </t>
  </si>
  <si>
    <r>
      <rPr>
        <b/>
        <sz val="8"/>
        <rFont val="Tahoma"/>
        <family val="2"/>
      </rPr>
      <t>JUNIO:</t>
    </r>
    <r>
      <rPr>
        <sz val="8"/>
        <rFont val="Tahoma"/>
        <family val="2"/>
      </rPr>
      <t xml:space="preserve">
Se llevan a cabo reuniones entre el Archivo Central y los gestores y referentes de archivo de cada proceso para dar a conocer los lineamientos para la actualización de las Tablas de retención documental (TRD) y elaboración de Cuadros de caracterización documental. 
Se surten reuniones con los referentes TIC para establecer una estrategia de socialización de las políticas de seguridad de la información.
Elaboración y revisión en mesa de trabajo con la OCI y Jurídica del procedimiento Gestión de Cumplimiento de lo Legal.  Actualización del procedimiento de medición de satisfacción del cliente.
Definición de los indicadores de gestión con base en la Guia de la Alcaldía Mayor, establecer la caracterización socio demográfica de TH para la SDS.
Se presentó propuesta de mapa de riesgos de corrupción transversal para ser revisado y avalado por la alta dirección.</t>
    </r>
  </si>
  <si>
    <t xml:space="preserve">Asesoría y  asistencia técnica  en la ejecución de  las actividades para la implementación de los subsistemas que componente el sistema Integrado de Gestión </t>
  </si>
  <si>
    <t xml:space="preserve">Número de asesorías y asistencias técnicas en SIG </t>
  </si>
  <si>
    <r>
      <rPr>
        <b/>
        <sz val="8"/>
        <rFont val="Tahoma"/>
        <family val="2"/>
      </rPr>
      <t>JUNIO:</t>
    </r>
    <r>
      <rPr>
        <sz val="8"/>
        <rFont val="Tahoma"/>
        <family val="2"/>
      </rPr>
      <t xml:space="preserve">
Se reportan las mismas actividades desarrolladas para la meta del sistema de gestión de calidad, en tanto estas también aportan a la implementación del sistema integrado de gestión.</t>
    </r>
  </si>
  <si>
    <t xml:space="preserve">Monitoreo a  la ejecución de  las actividades programadas para las direcciones en la implementación de los subsistemas que componente el sistema Integrado de Gestión </t>
  </si>
  <si>
    <r>
      <t xml:space="preserve">Porcentaje de cumplimiento de las actividades desarrolladas </t>
    </r>
    <r>
      <rPr>
        <sz val="9"/>
        <color indexed="8"/>
        <rFont val="Calibri"/>
        <family val="2"/>
      </rPr>
      <t xml:space="preserve">
</t>
    </r>
  </si>
  <si>
    <r>
      <rPr>
        <b/>
        <sz val="8"/>
        <rFont val="Tahoma"/>
        <family val="2"/>
      </rPr>
      <t>JUNIO:</t>
    </r>
    <r>
      <rPr>
        <sz val="8"/>
        <rFont val="Tahoma"/>
        <family val="2"/>
      </rPr>
      <t xml:space="preserve">
Se llevan a cabo diferentes campañas y actividades que fueron incluidas en el Plan Institucional de Gestión Ambiental (PIGA) y aprobadas por el Comité de Gestión Ambiental. Estas son:  Participación y seguimiento a la entrega de plántulas de guayaba blanca como parte de las actividades de celebración de la semana ambiental-4 de junio de 2015,  realización, asesoría y seguimiento a la actividad denominada: “5 ESES” realizada en la entidad principalmente en el área correspondiente a Planeación Institucional y calidad y de apoyo en el área de la Dirección de Calidad en Servicios de Salud-5 de junio de 2015 y  presentación de resultados de evaluación y de evidencias fotográficas de los puestos de trabajo en el comité de Gestión Ambiental.</t>
    </r>
  </si>
  <si>
    <t xml:space="preserve">Desarrollar procesos pedagógicos para  fortalecer la cultura de gestión y control  en la SDS </t>
  </si>
  <si>
    <t xml:space="preserve">Porcentaje de cumplimiento de la actividad desarrollada 
</t>
  </si>
  <si>
    <r>
      <rPr>
        <b/>
        <sz val="8"/>
        <rFont val="Tahoma"/>
        <family val="2"/>
      </rPr>
      <t>JUNIO:</t>
    </r>
    <r>
      <rPr>
        <sz val="8"/>
        <rFont val="Tahoma"/>
        <family val="2"/>
      </rPr>
      <t xml:space="preserve">
Se continúa con la socialización del nuevo mapa de procesos, para este mes se desarrolla capacitación en los procesos de Gestión en Salud Pública  - Laboratorio de Salud Pública, Asegurar Salud, Gestión de Urgencias, Emergencias y Desastres, Calidad de Servicios de Salud y Provisión de Servicios de Salud, Gestión TIC, Gestión Bienes y Servicios, Gestión Financiera De igual manera, se realiza la tabulación de las pruebas de adherencia aplicadas a los procesos frente a estas capacitaciones
El proceso continúa con la actualización del normograma institucional de acuerdo con nuevo mapa de procesos. 
Se lleva a cabo reunión con gestores del  proceso Gestión Salud Pública para veirficar el reporte y acciones del producto no conforme. De igual manera, se realizó con los procesos de Gestión de Urgencias, Emergencias y Desastres, Provisión de Servicios, Calidad de Servicios de Salud y Asegurar Salud.
Se realiza verificación al avance de las acciones correctivas producto de las no conformidades determinadas en la Auditoria Icontec.</t>
    </r>
  </si>
  <si>
    <t>Garantizar la sostenibilidad, mejoramiento continuo e integración de los sistemas de gestión y control</t>
  </si>
  <si>
    <r>
      <rPr>
        <b/>
        <sz val="8"/>
        <rFont val="Tahoma"/>
        <family val="2"/>
      </rPr>
      <t>JUNIO:</t>
    </r>
    <r>
      <rPr>
        <sz val="8"/>
        <rFont val="Tahoma"/>
        <family val="2"/>
      </rPr>
      <t xml:space="preserve">
Conjuntamente con la Oficina de Control Interno, se da inicio al proceso de planeación de las Auditorias Internas de Calidad, donde la Dirección de Planeación Institucional realizará el acompañamiento técnico al equipo de Auditores de Calidad y participará en los ejercicios de campo en algunos de los procesos designados.  Este trabajo incluye la revisión documental del proceso Evaluación, Seguimiento y Control a la Gestión en conjunto con el profesional delegado por el Líder de dicho proceso, la convocatoria al grupo auditor y el acompañamiento y revisión en el levantamiento de las listas de verificación, entre otros aspectos.</t>
    </r>
  </si>
  <si>
    <t>Lograr la certificación de los sistemas de gestión y control</t>
  </si>
  <si>
    <r>
      <rPr>
        <b/>
        <sz val="8"/>
        <rFont val="Tahoma"/>
        <family val="2"/>
      </rPr>
      <t>JUNIO:</t>
    </r>
    <r>
      <rPr>
        <sz val="8"/>
        <rFont val="Tahoma"/>
        <family val="2"/>
      </rPr>
      <t xml:space="preserve">
El sistema de gestión de calidad ya se encuentra certificado en las normas ISO 9001:2008 y NTCGP 1000:2009. Durante este mes se continua con la gestión contractual del contrato con Icontec permitiendo la suscripción y publicación del mismo, que tiene como objeto "Prestar servicios para el mantenimiento de la certificación de calidad bajo la norma NTCGP 1000:2009 e ISO 9001:2008 y el diagnóstico de los subsistemas de seguridad de la información y seguridad y salud en el trabajo".</t>
    </r>
  </si>
  <si>
    <t>EJE ESTRATEGICO DEL PLAN TERRITORIAL DE SALUD PARA BOGOTÁ 2012-2016: COMPONENTE DE PRESTACION Y DESARROLLO DE SERVICIOS</t>
  </si>
  <si>
    <t>PROYECTO DE INVERSIÓN DEL PLAN DE DESARROLLO BOGOTA HUMANA 2012-2016: CIUDAD SALUD</t>
  </si>
  <si>
    <t xml:space="preserve">Porcentaje de ESE en cumplimiento  de la normalización de sus equipamientos respecto del Plan Maestro de Equipamientos de Salud y de acuerdo al estudio de Factibilidad del proyecto Ciudad Salud Región.  
</t>
  </si>
  <si>
    <t xml:space="preserve">
Mediante Oficio No 2015EE41262  del 18 de Junio de 2015,el Subsecretario de Planeacion y Gestion Sectorial de la Secretaria Distrital de Salud , solicita a la Subsecretaria de Defensa Judicial y Daño Antijuridico solicita un pronunciamiento definitivo al respecto de la controversia con la Empresa de Renovacion Urbana, en el proceso de liquidacion del Convenio 1058 de 2009 , lo anterior debido al incumplimiento de la ERU, en los tiempos y la presentacion de una propuesta tal y como se habia comprometido en reuniuon del 13 de Mayo de 2015. Mediante memorando No 2915IE17880 de 23 de Junio de 2015 la Jefe de la Oficina Asesora Juridica de la Secretaria Distrital de Salud, realiza consulta a la Subsecretaria de Planeacion Sectorial respecto al paso a seguir en vista que el proceso de conciliacion con la Empresa de Renovacion Urbana se consider agotado y el acompañamiento de la Oficina de Defensa Juridica de la Alcaldia Mayor no ha ofrecido resultados concretos.
Sin embargo la Dra. Aura Elvira Gomez, informa que realizara aproximacion con la Alcaldia Mayor, para evaluar la condicion actual del proceso liderado con la oficina de defensa juridica antes de proceder en terminos juridicos en contra de la Empresa de Renovacion Urbana. </t>
  </si>
  <si>
    <t xml:space="preserve">La vinculación de la Secretaria General de la Alcaldía Mayor de Bogotá, con base en el Decreto 655 de 2011, que le otorga las funciones y competencias necesarias para lograr la liquidación de manera consensuada, debera ofrecer un panorama mas favorable respecto a la controversia juridica que enfrenta  a la Secretaria Distrital de Salud y la Empresa de Renovacion Urbana.
Vinculacion oficial de la Subdireccion Distrital de Defensa Judicial y Prevencion del Daño Antijuridico de la Alcaldia Mayor de Bogota en la busqueda de la solucion mas eficaz y util para la Secretaria Distrital de Salud y la Empresa de Renovacion Urbana.
Se realiza envio del Plan de Mejoramiento del Proyecto 879 Ciudad Salud a la oficina de Control Interno, el dia 24 de Abril de 2015, radicado No 2015IE11963.
Incorporacion del Proyecto Ciudad Salud, en el Plan Nacional de Desarrollo como Proyecto Visionario para Bogota, Distrito Capital.
</t>
  </si>
  <si>
    <t xml:space="preserve">Ciudad Salud.
Resumen Ejecutivo de reunión de articulación con la Gerencia del Proyecto Anillo de Innovación, Universidad Nacional de Colombia respecto a la continuidad del Proyecto Ciudad Salud.Resumen Ejecutivo de reunión de articulación con la Dirección de Operaciones Estratégicas de la Secretaria Distrital de Planeación respecto a la continuidad de la Operación Estratégica Ciudad Salud.
Elaboración y Entrega de Informe Ejecutivo del Proyecto Ciudad Salud – Vigencia 2015 para la Dirección de Planeación Sectorial.
Elaboración y Entrega de presentación del proyecto Complejo Urbanístico  y de Innovación en Salud
Ciudad Salud – Hospital San Juan de Dios para su inclusión en el Plan Nacional de Desarrollo a la Dirección de Planeación Sectorial.
Observaciones Plan Especial de Manejo y Proteccion Conjunto Patrimonial Hospital San Juan de Dios e Instituto Materno Infantil ( Universidad Nacional de Colombia).
No se cuenta con resultados para el mes de Abril
La vinculacion de la Oficina del Daño Antijuridico de la Alcaldia Mayor de Bogota, permite vislumbrar un pronto desenlace a la controversia presente entre la SDS y la ERU.
</t>
  </si>
  <si>
    <t>La vinculacion oficial de la Subdireccion Distrital de Defensa Judicial y Prevencion del Daño Antijuridico de la Alcaldia Mayor de Bogota acorta el tiempo de resolucion de la controversia entre las partes, se espera resolver la situacion antes del mes de Agosto del año 2015</t>
  </si>
  <si>
    <t>NOTA : SE PRECISA QUE POR TRATARSE DE TRES METAS ASOCIADAS A LA FINALIZACION DEL ESTUDIO DE FACTIBILIDAD DEL PROYECTO CIUDAD SALUD, ESTAS SE PROPUSIERON DE MANERA PROSPECTIVA Y LA EJECUCION DE LAS MISMAS SE ASOCIA A LA FINALIZACION DEL ESTUDIO COMO UN TODO, SIN LA FINALIZACION A SATISFACCION DE LA FACTIBILIDAD, AUN SE CONSIDERAN DEPENDIENTES DE LOS RESULTADOS FINALES DEL MISMO.
En caso de lograrse una conciliacion para la recuperacion de los productos de la Consultoria asociados al componente en salud y zona franca en salud, tendra la SDS la obligacion de realizar una revision exhaustiva de los resultados y solicitar de manera oficial la correccion y ajuste de dichos componentes para lograr la validacion de los mismos, se espera pronuciamiento de la ERU antes del mes de Julio del año 2015.</t>
  </si>
  <si>
    <t xml:space="preserve">
Adoptar el modelo de Gestión y operación interinstitucional del proyecto Ciudad Salud Región
</t>
  </si>
  <si>
    <t xml:space="preserve">
Consolidar a la red pública adscrita de Bogotá como socio estratégico de la puesta en marcha y operación del Clúster de Servicios de Salud – Ciudad Salud 
</t>
  </si>
  <si>
    <t xml:space="preserve">Porcentaje de gestion intrainstitucional para vincular a la red publica adscrita al proyecto Ciudad Salud
</t>
  </si>
  <si>
    <t>1 - RECURSOS PROPIOS (ENTIDADES TERRITORIALES)
SIN DESTINACIÓN ESPECFICA</t>
  </si>
  <si>
    <t>1 - RECURSOS PROPIOS (ENTIDADES TERRITORIALES)
CON DESTINACIÓN ESPECFICA</t>
  </si>
  <si>
    <t>2 - SISTEMA GENERAL DE PARTICIPACIONES
SIN DESTINACIÓN ESPECFICA</t>
  </si>
  <si>
    <t>2 - SISTEMA GENERAL DE PARTICIPACIONES
CON DESTINACIÓN ESPECFICA</t>
  </si>
  <si>
    <t xml:space="preserve">.
Mediante Oficio No 2015EE41262  del 18 de Junio de 2015,el Subsecretario de Planeacion y Gestion Sectorial de la Secretaria Distrital de Salud , solicita a la Subsecretaria de Defensa Judicial y Daño Antijuridico solicita un pronunciamiento definitivo al respecto de la controversia con la Empresa de Renovacion Urbana, en el proceso de liquidacion del Convenio 1058 de 2009 , lo anterior debido al incumplimiento de la ERU, en los tiempos y la presentacion de una propuesta tal y como se habia comprometido en reuniuon del 13 de Mayo de 2015. Mediante memorando No 2915IE17880 de 23 de Junio de 2015 la Jefe de la Oficina Asesora Juridica de la Secretaria Distrital de Salud, realiza consulta a la Subsecretaria de Planeacion Sectorial respecto al paso a seguir en vista que el proceso de conciliacion con la Empresa de Renovacion Urbana se consider agotado y el acompañamiento de la Oficina de Defensa Juridica de la Alcaldia Mayor no ha ofrecido resultados concretos.
Sin embargo la Dra. Aura Elvira Gomez, informa que realizara aproximacion con la Alcaldia Mayor, para evaluar la condicion actual del proceso liderado con la oficina de defensa juridica antes de proceder en terminos juridicos en contra de la Empresa de Renovacion Urbana. </t>
  </si>
  <si>
    <t xml:space="preserve">
Adoptar el modelo de Gestión y operación interinstitucional del proyecto Ciudad Salud Región,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</si>
</sst>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
    <numFmt numFmtId="173" formatCode="0.0%"/>
    <numFmt numFmtId="174" formatCode="_(* #,##0_);_(* \(#,##0\);_(* &quot;-&quot;??_);_(@_)"/>
    <numFmt numFmtId="175" formatCode="[$-240A]dddd\,\ dd&quot; de &quot;mmmm&quot; de &quot;yyyy"/>
    <numFmt numFmtId="176" formatCode="[$-240A]h:mm:ss\ AM/PM"/>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 #,##0_ ;_ * \-#,##0_ ;_ * &quot;-&quot;??_ ;_ @_ "/>
    <numFmt numFmtId="183" formatCode="0.000000000000"/>
    <numFmt numFmtId="184" formatCode="0.00000000"/>
    <numFmt numFmtId="185" formatCode="_-* #,##0.00000000000\ _€_-;\-* #,##0.00000000000\ _€_-;_-* &quot;-&quot;???????????\ _€_-;_-@_-"/>
    <numFmt numFmtId="186" formatCode="_(* #,##0.00_);_(* \(#,##0.00\);_(* &quot;-&quot;_);_(@_)"/>
    <numFmt numFmtId="187" formatCode="_-* #,##0.00\ _€_-;\-* #,##0.00\ _€_-;_-* &quot;-&quot;??\ _€_-;_-@_-"/>
    <numFmt numFmtId="188" formatCode="_-* #,##0.000000000\ _€_-;\-* #,##0.000000000\ _€_-;_-* &quot;-&quot;??\ _€_-;_-@_-"/>
    <numFmt numFmtId="189" formatCode="00"/>
    <numFmt numFmtId="190" formatCode="&quot;$&quot;\ #,##0"/>
    <numFmt numFmtId="191" formatCode="#,##0.00000000000000000000000000000000000000"/>
    <numFmt numFmtId="192" formatCode="#,##0.000000000000000"/>
    <numFmt numFmtId="193" formatCode="_(&quot;$&quot;\ * #,##0_);_(&quot;$&quot;\ * \(#,##0\);_(&quot;$&quot;\ * &quot;-&quot;??_);_(@_)"/>
    <numFmt numFmtId="194" formatCode="_-* #,##0_-;\-* #,##0_-;_-* &quot;-&quot;??_-;_-@_-"/>
    <numFmt numFmtId="195" formatCode="&quot;$&quot;\ #,##0;[Red]&quot;$&quot;\ #,##0"/>
  </numFmts>
  <fonts count="126">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b/>
      <sz val="12"/>
      <color indexed="9"/>
      <name val="Calibri"/>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1"/>
      <name val="Tahoma"/>
      <family val="2"/>
    </font>
    <font>
      <sz val="12"/>
      <color indexed="9"/>
      <name val="Calibri"/>
      <family val="2"/>
    </font>
    <font>
      <sz val="11"/>
      <color indexed="9"/>
      <name val="Arial"/>
      <family val="2"/>
    </font>
    <font>
      <sz val="12"/>
      <name val="Calibri"/>
      <family val="2"/>
    </font>
    <font>
      <sz val="12"/>
      <color indexed="8"/>
      <name val="Arial"/>
      <family val="2"/>
    </font>
    <font>
      <sz val="11"/>
      <name val="Arial"/>
      <family val="2"/>
    </font>
    <font>
      <b/>
      <sz val="11"/>
      <color indexed="8"/>
      <name val="Calibri"/>
      <family val="2"/>
    </font>
    <font>
      <sz val="26"/>
      <color indexed="8"/>
      <name val="Calibri"/>
      <family val="2"/>
    </font>
    <font>
      <b/>
      <sz val="16"/>
      <color indexed="9"/>
      <name val="Calibri"/>
      <family val="2"/>
    </font>
    <font>
      <b/>
      <sz val="14"/>
      <color indexed="9"/>
      <name val="Calibri"/>
      <family val="2"/>
    </font>
    <font>
      <sz val="8"/>
      <color indexed="9"/>
      <name val="Calibri"/>
      <family val="2"/>
    </font>
    <font>
      <sz val="10"/>
      <name val="Tahoma"/>
      <family val="2"/>
    </font>
    <font>
      <b/>
      <sz val="11"/>
      <color indexed="8"/>
      <name val="Tahoma"/>
      <family val="2"/>
    </font>
    <font>
      <sz val="11"/>
      <color indexed="9"/>
      <name val="Tahoma"/>
      <family val="2"/>
    </font>
    <font>
      <sz val="12"/>
      <name val="Arial"/>
      <family val="2"/>
    </font>
    <font>
      <b/>
      <sz val="12"/>
      <name val="Arial"/>
      <family val="2"/>
    </font>
    <font>
      <b/>
      <sz val="11"/>
      <name val="Arial"/>
      <family val="2"/>
    </font>
    <font>
      <sz val="12"/>
      <color indexed="8"/>
      <name val="Calibri"/>
      <family val="2"/>
    </font>
    <font>
      <sz val="8"/>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2"/>
      <color indexed="8"/>
      <name val="Tahoma"/>
      <family val="2"/>
    </font>
    <font>
      <sz val="11"/>
      <color indexed="10"/>
      <name val="Tahoma"/>
      <family val="2"/>
    </font>
    <font>
      <sz val="11"/>
      <color indexed="10"/>
      <name val="Arial"/>
      <family val="2"/>
    </font>
    <font>
      <b/>
      <sz val="11"/>
      <color indexed="10"/>
      <name val="Arial"/>
      <family val="2"/>
    </font>
    <font>
      <sz val="10"/>
      <color indexed="8"/>
      <name val="Arial"/>
      <family val="2"/>
    </font>
    <font>
      <sz val="26"/>
      <color indexed="10"/>
      <name val="Calibri"/>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sz val="9"/>
      <color indexed="8"/>
      <name val="Tahoma"/>
      <family val="2"/>
    </font>
    <font>
      <b/>
      <sz val="9"/>
      <color indexed="8"/>
      <name val="Tahoma"/>
      <family val="2"/>
    </font>
    <font>
      <b/>
      <sz val="9"/>
      <color indexed="9"/>
      <name val="Tahoma"/>
      <family val="2"/>
    </font>
    <font>
      <b/>
      <sz val="9"/>
      <color indexed="10"/>
      <name val="Tahoma"/>
      <family val="2"/>
    </font>
    <font>
      <sz val="9"/>
      <name val="Calibri"/>
      <family val="2"/>
    </font>
    <font>
      <sz val="9"/>
      <color indexed="10"/>
      <name val="Tahoma"/>
      <family val="2"/>
    </font>
    <font>
      <sz val="9"/>
      <color indexed="8"/>
      <name val="Calibri"/>
      <family val="2"/>
    </font>
    <font>
      <sz val="10"/>
      <name val="Calibri"/>
      <family val="2"/>
    </font>
    <font>
      <b/>
      <sz val="9"/>
      <color indexed="8"/>
      <name val="Calibri"/>
      <family val="2"/>
    </font>
    <font>
      <b/>
      <sz val="9"/>
      <name val="Calibri"/>
      <family val="2"/>
    </font>
    <font>
      <b/>
      <sz val="9"/>
      <color indexed="18"/>
      <name val="Calibri"/>
      <family val="2"/>
    </font>
    <font>
      <b/>
      <sz val="10"/>
      <color indexed="8"/>
      <name val="Arial"/>
      <family val="2"/>
    </font>
    <font>
      <b/>
      <sz val="12"/>
      <color indexed="10"/>
      <name val="Arial"/>
      <family val="2"/>
    </font>
    <font>
      <sz val="9"/>
      <color indexed="8"/>
      <name val="Arial Narrow"/>
      <family val="2"/>
    </font>
    <font>
      <b/>
      <sz val="9"/>
      <color indexed="8"/>
      <name val="Arial Narrow"/>
      <family val="2"/>
    </font>
    <font>
      <sz val="9"/>
      <color indexed="10"/>
      <name val="Arial Narrow"/>
      <family val="2"/>
    </font>
    <font>
      <sz val="9"/>
      <name val="Arial Narrow"/>
      <family val="2"/>
    </font>
    <font>
      <b/>
      <sz val="12"/>
      <color indexed="10"/>
      <name val="Calibri"/>
      <family val="2"/>
    </font>
    <font>
      <b/>
      <sz val="11"/>
      <name val="Calibri"/>
      <family val="2"/>
    </font>
    <font>
      <sz val="9"/>
      <name val="Verdana"/>
      <family val="2"/>
    </font>
    <font>
      <sz val="8"/>
      <color indexed="8"/>
      <name val="Arial Narrow"/>
      <family val="2"/>
    </font>
    <font>
      <b/>
      <sz val="8"/>
      <color indexed="8"/>
      <name val="Arial Narrow"/>
      <family val="2"/>
    </font>
    <font>
      <sz val="8"/>
      <color indexed="62"/>
      <name val="Arial Narrow"/>
      <family val="2"/>
    </font>
    <font>
      <sz val="8"/>
      <name val="Arial Narrow"/>
      <family val="2"/>
    </font>
    <font>
      <b/>
      <sz val="8"/>
      <name val="Arial Narrow"/>
      <family val="2"/>
    </font>
    <font>
      <b/>
      <sz val="9"/>
      <name val="Arial Narrow"/>
      <family val="2"/>
    </font>
    <font>
      <b/>
      <sz val="8"/>
      <name val="Tahoma"/>
      <family val="2"/>
    </font>
    <font>
      <sz val="8"/>
      <color indexed="8"/>
      <name val="Arial"/>
      <family val="2"/>
    </font>
    <font>
      <sz val="9"/>
      <color indexed="10"/>
      <name val="Calibri"/>
      <family val="2"/>
    </font>
    <font>
      <sz val="8"/>
      <color indexed="8"/>
      <name val="Tahoma"/>
      <family val="2"/>
    </font>
    <font>
      <b/>
      <sz val="8"/>
      <color indexed="8"/>
      <name val="Tahoma"/>
      <family val="2"/>
    </font>
    <font>
      <sz val="8"/>
      <color indexed="10"/>
      <name val="Tahoma"/>
      <family val="2"/>
    </font>
    <font>
      <sz val="12"/>
      <color indexed="10"/>
      <name val="Calibri"/>
      <family val="2"/>
    </font>
    <font>
      <b/>
      <sz val="9"/>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Tahoma"/>
      <family val="2"/>
    </font>
    <font>
      <sz val="12"/>
      <color theme="1"/>
      <name val="Calibri"/>
      <family val="2"/>
    </font>
    <font>
      <sz val="12"/>
      <color theme="1"/>
      <name val="Arial"/>
      <family val="2"/>
    </font>
    <font>
      <sz val="11"/>
      <color rgb="FFFF0000"/>
      <name val="Tahoma"/>
      <family val="2"/>
    </font>
    <font>
      <sz val="11"/>
      <color rgb="FFFF0000"/>
      <name val="Arial"/>
      <family val="2"/>
    </font>
    <font>
      <b/>
      <sz val="11"/>
      <color rgb="FFFF0000"/>
      <name val="Arial"/>
      <family val="2"/>
    </font>
    <font>
      <sz val="10"/>
      <color theme="1"/>
      <name val="Arial"/>
      <family val="2"/>
    </font>
    <font>
      <sz val="26"/>
      <color rgb="FFFF0000"/>
      <name val="Calibri"/>
      <family val="2"/>
    </font>
    <font>
      <sz val="9"/>
      <color theme="1"/>
      <name val="Arial"/>
      <family val="2"/>
    </font>
    <font>
      <sz val="9"/>
      <color theme="1"/>
      <name val="Calibri"/>
      <family val="2"/>
    </font>
    <font>
      <b/>
      <sz val="9"/>
      <color theme="1"/>
      <name val="Calibri"/>
      <family val="2"/>
    </font>
    <font>
      <sz val="8"/>
      <color theme="1"/>
      <name val="Tahoma"/>
      <family val="2"/>
    </font>
    <font>
      <sz val="12"/>
      <color rgb="FFFF0000"/>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theme="3" tint="-0.24997000396251678"/>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indexed="62"/>
        <bgColor indexed="64"/>
      </patternFill>
    </fill>
    <fill>
      <patternFill patternType="solid">
        <fgColor indexed="18"/>
        <bgColor indexed="64"/>
      </patternFill>
    </fill>
    <fill>
      <patternFill patternType="solid">
        <fgColor indexed="4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right style="thin"/>
      <top>
        <color indexed="63"/>
      </top>
      <bottom style="thin"/>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style="thin"/>
      <top style="thin"/>
      <bottom style="thin"/>
    </border>
    <border>
      <left style="medium"/>
      <right style="medium"/>
      <top style="medium"/>
      <bottom style="mediu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color indexed="63"/>
      </left>
      <right>
        <color indexed="63"/>
      </right>
      <top style="thin"/>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thin"/>
      <top style="thin">
        <color indexed="9"/>
      </top>
      <bottom>
        <color indexed="63"/>
      </bottom>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thin">
        <color indexed="9"/>
      </right>
      <top>
        <color indexed="63"/>
      </top>
      <bottom>
        <color indexed="63"/>
      </bottom>
    </border>
    <border>
      <left/>
      <right style="thin">
        <color indexed="9"/>
      </right>
      <top/>
      <bottom style="thin"/>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7" fillId="20" borderId="0" applyNumberFormat="0" applyBorder="0" applyAlignment="0" applyProtection="0"/>
    <xf numFmtId="0" fontId="98" fillId="21" borderId="1" applyNumberFormat="0" applyAlignment="0" applyProtection="0"/>
    <xf numFmtId="0" fontId="99" fillId="22" borderId="2" applyNumberFormat="0" applyAlignment="0" applyProtection="0"/>
    <xf numFmtId="0" fontId="100" fillId="0" borderId="3" applyNumberFormat="0" applyFill="0" applyAlignment="0" applyProtection="0"/>
    <xf numFmtId="0" fontId="101" fillId="0" borderId="0" applyNumberFormat="0" applyFill="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96" fillId="28" borderId="0" applyNumberFormat="0" applyBorder="0" applyAlignment="0" applyProtection="0"/>
    <xf numFmtId="0" fontId="102"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103"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04" fillId="21" borderId="5"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6" applyNumberFormat="0" applyFill="0" applyAlignment="0" applyProtection="0"/>
    <xf numFmtId="0" fontId="109" fillId="0" borderId="7" applyNumberFormat="0" applyFill="0" applyAlignment="0" applyProtection="0"/>
    <xf numFmtId="0" fontId="101" fillId="0" borderId="8" applyNumberFormat="0" applyFill="0" applyAlignment="0" applyProtection="0"/>
    <xf numFmtId="0" fontId="110" fillId="0" borderId="9" applyNumberFormat="0" applyFill="0" applyAlignment="0" applyProtection="0"/>
  </cellStyleXfs>
  <cellXfs count="642">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protection/>
    </xf>
    <xf numFmtId="0" fontId="4"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2" fillId="33" borderId="10" xfId="0" applyFont="1" applyFill="1" applyBorder="1" applyAlignment="1" applyProtection="1">
      <alignment horizontal="center" vertical="center" wrapText="1"/>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7" fillId="0" borderId="0" xfId="0" applyFont="1" applyAlignment="1" applyProtection="1">
      <alignment horizontal="center" vertical="center"/>
      <protection/>
    </xf>
    <xf numFmtId="0" fontId="14" fillId="35" borderId="10" xfId="0" applyFont="1" applyFill="1" applyBorder="1" applyAlignment="1" applyProtection="1">
      <alignment horizontal="center" vertical="center" wrapText="1"/>
      <protection/>
    </xf>
    <xf numFmtId="0" fontId="13" fillId="35" borderId="10"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center" vertical="center" wrapText="1"/>
      <protection/>
    </xf>
    <xf numFmtId="0" fontId="15" fillId="36" borderId="10" xfId="0" applyFont="1" applyFill="1" applyBorder="1" applyAlignment="1" applyProtection="1">
      <alignment horizontal="center" vertical="center"/>
      <protection/>
    </xf>
    <xf numFmtId="0" fontId="15" fillId="36" borderId="10" xfId="0" applyFont="1" applyFill="1" applyBorder="1" applyAlignment="1" applyProtection="1">
      <alignment horizontal="left" vertical="center" wrapText="1"/>
      <protection/>
    </xf>
    <xf numFmtId="9" fontId="15" fillId="36" borderId="10" xfId="0" applyNumberFormat="1" applyFont="1" applyFill="1" applyBorder="1" applyAlignment="1" applyProtection="1">
      <alignment horizontal="center" vertical="center" wrapText="1"/>
      <protection/>
    </xf>
    <xf numFmtId="0" fontId="111" fillId="0" borderId="10" xfId="0" applyFont="1" applyFill="1" applyBorder="1" applyAlignment="1" applyProtection="1">
      <alignment horizontal="center" vertical="center" wrapText="1"/>
      <protection/>
    </xf>
    <xf numFmtId="0" fontId="111" fillId="0" borderId="10" xfId="0" applyFont="1" applyFill="1" applyBorder="1" applyAlignment="1" applyProtection="1">
      <alignment horizontal="justify" vertical="center" wrapText="1"/>
      <protection/>
    </xf>
    <xf numFmtId="0" fontId="111" fillId="0" borderId="10" xfId="0" applyFont="1" applyFill="1" applyBorder="1" applyAlignment="1" applyProtection="1">
      <alignment horizontal="center" vertical="center"/>
      <protection/>
    </xf>
    <xf numFmtId="0" fontId="111" fillId="0" borderId="10" xfId="0" applyFont="1" applyFill="1" applyBorder="1" applyAlignment="1" applyProtection="1">
      <alignment horizontal="left" vertical="center" wrapText="1"/>
      <protection/>
    </xf>
    <xf numFmtId="0" fontId="111" fillId="0" borderId="12" xfId="0" applyFont="1" applyFill="1" applyBorder="1" applyAlignment="1" applyProtection="1">
      <alignment horizontal="center" vertical="center" wrapText="1"/>
      <protection/>
    </xf>
    <xf numFmtId="0" fontId="13" fillId="0" borderId="10" xfId="0" applyFont="1" applyFill="1" applyBorder="1" applyAlignment="1" applyProtection="1">
      <alignment horizontal="justify" vertical="center" wrapText="1"/>
      <protection locked="0"/>
    </xf>
    <xf numFmtId="9" fontId="111" fillId="0" borderId="10" xfId="0" applyNumberFormat="1" applyFont="1" applyFill="1" applyBorder="1" applyAlignment="1" applyProtection="1">
      <alignment horizontal="center" vertical="center" wrapText="1"/>
      <protection/>
    </xf>
    <xf numFmtId="0" fontId="111" fillId="0" borderId="13" xfId="0" applyNumberFormat="1" applyFont="1" applyFill="1" applyBorder="1" applyAlignment="1" applyProtection="1">
      <alignment horizontal="justify" vertical="center" wrapText="1"/>
      <protection/>
    </xf>
    <xf numFmtId="0" fontId="18" fillId="0" borderId="10" xfId="0" applyFont="1" applyFill="1" applyBorder="1" applyAlignment="1" applyProtection="1">
      <alignment horizontal="justify" vertical="center" wrapText="1"/>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justify" vertical="center" wrapText="1"/>
      <protection/>
    </xf>
    <xf numFmtId="174" fontId="19" fillId="0" borderId="10" xfId="48" applyNumberFormat="1" applyFont="1" applyFill="1" applyBorder="1" applyAlignment="1" applyProtection="1" quotePrefix="1">
      <alignment horizontal="center" vertical="center"/>
      <protection/>
    </xf>
    <xf numFmtId="0" fontId="0" fillId="0" borderId="0" xfId="0" applyFont="1" applyFill="1" applyAlignment="1" applyProtection="1">
      <alignment horizontal="center" vertical="center"/>
      <protection/>
    </xf>
    <xf numFmtId="0" fontId="1" fillId="35" borderId="0" xfId="0" applyFont="1" applyFill="1" applyAlignment="1" applyProtection="1">
      <alignment horizontal="justify" vertical="center"/>
      <protection/>
    </xf>
    <xf numFmtId="0" fontId="0" fillId="35" borderId="0" xfId="0" applyFont="1" applyFill="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0" fontId="1" fillId="0" borderId="0" xfId="0" applyFont="1" applyFill="1" applyAlignment="1" applyProtection="1">
      <alignment horizontal="justify" vertical="center"/>
      <protection/>
    </xf>
    <xf numFmtId="0" fontId="111" fillId="0" borderId="10" xfId="0" applyNumberFormat="1" applyFont="1" applyFill="1" applyBorder="1" applyAlignment="1" applyProtection="1">
      <alignment horizontal="justify" vertical="center" wrapText="1"/>
      <protection/>
    </xf>
    <xf numFmtId="0" fontId="0" fillId="0" borderId="0" xfId="0" applyFont="1" applyAlignment="1" applyProtection="1">
      <alignment horizontal="center" vertical="center"/>
      <protection/>
    </xf>
    <xf numFmtId="0" fontId="111" fillId="36" borderId="10" xfId="0" applyFont="1" applyFill="1" applyBorder="1" applyAlignment="1" applyProtection="1">
      <alignment horizontal="center" vertical="center" wrapText="1"/>
      <protection/>
    </xf>
    <xf numFmtId="0" fontId="111" fillId="36" borderId="10" xfId="0" applyFont="1" applyFill="1" applyBorder="1" applyAlignment="1" applyProtection="1">
      <alignment horizontal="justify" vertical="center" wrapText="1"/>
      <protection/>
    </xf>
    <xf numFmtId="0" fontId="111" fillId="36" borderId="10" xfId="0" applyFont="1" applyFill="1" applyBorder="1" applyAlignment="1" applyProtection="1">
      <alignment horizontal="center" vertical="center"/>
      <protection/>
    </xf>
    <xf numFmtId="0" fontId="111" fillId="36" borderId="10" xfId="0" applyFont="1" applyFill="1" applyBorder="1" applyAlignment="1" applyProtection="1">
      <alignment horizontal="left" vertical="center" wrapText="1"/>
      <protection/>
    </xf>
    <xf numFmtId="174" fontId="19" fillId="36" borderId="10" xfId="48" applyNumberFormat="1" applyFont="1" applyFill="1" applyBorder="1" applyAlignment="1" applyProtection="1" quotePrefix="1">
      <alignment horizontal="center" vertical="center"/>
      <protection/>
    </xf>
    <xf numFmtId="0" fontId="14" fillId="36" borderId="10" xfId="0" applyFont="1" applyFill="1" applyBorder="1" applyAlignment="1" applyProtection="1">
      <alignment horizontal="center" vertical="center" wrapText="1"/>
      <protection/>
    </xf>
    <xf numFmtId="9" fontId="0" fillId="36" borderId="10" xfId="0" applyNumberFormat="1" applyFont="1" applyFill="1" applyBorder="1" applyAlignment="1" applyProtection="1">
      <alignment horizontal="center" vertical="center" wrapText="1"/>
      <protection/>
    </xf>
    <xf numFmtId="0" fontId="13" fillId="36" borderId="10" xfId="0" applyFont="1" applyFill="1" applyBorder="1" applyAlignment="1" applyProtection="1">
      <alignment horizontal="justify" vertical="center" wrapText="1"/>
      <protection locked="0"/>
    </xf>
    <xf numFmtId="0" fontId="1" fillId="36" borderId="0" xfId="0" applyFont="1" applyFill="1" applyAlignment="1" applyProtection="1">
      <alignment horizontal="justify" vertical="center"/>
      <protection/>
    </xf>
    <xf numFmtId="0" fontId="112" fillId="0" borderId="12" xfId="0" applyFont="1" applyFill="1" applyBorder="1" applyAlignment="1" applyProtection="1">
      <alignment vertical="top" wrapText="1"/>
      <protection/>
    </xf>
    <xf numFmtId="0" fontId="111" fillId="0" borderId="10" xfId="0" applyFont="1" applyFill="1" applyBorder="1" applyAlignment="1" applyProtection="1" quotePrefix="1">
      <alignment horizontal="center" vertical="center"/>
      <protection/>
    </xf>
    <xf numFmtId="0" fontId="111" fillId="0" borderId="12" xfId="0" applyFont="1" applyFill="1" applyBorder="1" applyAlignment="1" applyProtection="1">
      <alignment horizontal="justify" vertical="center" wrapText="1"/>
      <protection/>
    </xf>
    <xf numFmtId="0" fontId="111" fillId="0" borderId="12" xfId="0" applyFont="1" applyFill="1" applyBorder="1" applyAlignment="1" applyProtection="1">
      <alignment horizontal="center" vertical="center"/>
      <protection/>
    </xf>
    <xf numFmtId="0" fontId="111" fillId="0" borderId="12" xfId="0" applyFont="1" applyFill="1" applyBorder="1" applyAlignment="1" applyProtection="1">
      <alignment horizontal="left" vertical="center" wrapText="1"/>
      <protection/>
    </xf>
    <xf numFmtId="0" fontId="0" fillId="0" borderId="0" xfId="0" applyAlignment="1" applyProtection="1">
      <alignment horizontal="left" vertical="center"/>
      <protection/>
    </xf>
    <xf numFmtId="0" fontId="3" fillId="33"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0" fontId="20" fillId="33"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protection/>
    </xf>
    <xf numFmtId="0" fontId="21" fillId="36" borderId="10" xfId="0" applyFont="1" applyFill="1" applyBorder="1" applyAlignment="1" applyProtection="1">
      <alignment horizontal="center" vertical="center"/>
      <protection/>
    </xf>
    <xf numFmtId="0" fontId="13" fillId="36" borderId="10" xfId="0" applyFont="1" applyFill="1" applyBorder="1" applyAlignment="1" applyProtection="1">
      <alignment horizontal="center" vertical="center"/>
      <protection/>
    </xf>
    <xf numFmtId="9" fontId="113" fillId="0" borderId="10" xfId="0" applyNumberFormat="1" applyFont="1" applyFill="1" applyBorder="1" applyAlignment="1" applyProtection="1">
      <alignment horizontal="center" vertical="center" wrapText="1"/>
      <protection/>
    </xf>
    <xf numFmtId="0" fontId="113"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3" fillId="0" borderId="10" xfId="0" applyFont="1" applyFill="1" applyBorder="1" applyAlignment="1" applyProtection="1">
      <alignment horizontal="justify" vertical="center"/>
      <protection/>
    </xf>
    <xf numFmtId="0" fontId="23" fillId="0" borderId="10" xfId="0" applyFont="1" applyFill="1" applyBorder="1" applyAlignment="1" applyProtection="1">
      <alignment horizontal="justify" vertical="center" wrapText="1"/>
      <protection/>
    </xf>
    <xf numFmtId="0" fontId="114" fillId="0" borderId="10" xfId="0" applyFont="1" applyFill="1" applyBorder="1" applyAlignment="1" applyProtection="1">
      <alignment horizontal="center" vertical="center"/>
      <protection/>
    </xf>
    <xf numFmtId="0" fontId="114" fillId="0" borderId="10" xfId="0" applyFont="1" applyFill="1" applyBorder="1" applyAlignment="1" applyProtection="1">
      <alignment horizontal="justify" vertical="center" textRotation="90"/>
      <protection/>
    </xf>
    <xf numFmtId="0" fontId="23" fillId="0" borderId="10" xfId="0" applyFont="1" applyFill="1" applyBorder="1" applyAlignment="1" applyProtection="1">
      <alignment horizontal="center" vertical="center"/>
      <protection/>
    </xf>
    <xf numFmtId="9" fontId="111" fillId="0" borderId="10" xfId="0" applyNumberFormat="1" applyFont="1" applyFill="1" applyBorder="1" applyAlignment="1" applyProtection="1">
      <alignment horizontal="center" vertical="center"/>
      <protection/>
    </xf>
    <xf numFmtId="3" fontId="15" fillId="36" borderId="10" xfId="0" applyNumberFormat="1" applyFont="1" applyFill="1" applyBorder="1" applyAlignment="1" applyProtection="1">
      <alignment horizontal="center" vertical="center" wrapText="1"/>
      <protection locked="0"/>
    </xf>
    <xf numFmtId="0" fontId="11" fillId="33" borderId="11" xfId="0" applyFont="1" applyFill="1" applyBorder="1" applyAlignment="1" applyProtection="1">
      <alignment horizontal="center" vertical="center" wrapText="1"/>
      <protection/>
    </xf>
    <xf numFmtId="9" fontId="24" fillId="35" borderId="10" xfId="60" applyNumberFormat="1" applyFont="1" applyFill="1" applyBorder="1" applyAlignment="1" applyProtection="1">
      <alignment horizontal="center" vertical="center" wrapText="1"/>
      <protection locked="0"/>
    </xf>
    <xf numFmtId="1" fontId="24" fillId="35" borderId="10" xfId="60" applyNumberFormat="1" applyFont="1" applyFill="1" applyBorder="1" applyAlignment="1" applyProtection="1">
      <alignment horizontal="center" vertical="center" wrapText="1"/>
      <protection locked="0"/>
    </xf>
    <xf numFmtId="9" fontId="24" fillId="36" borderId="10" xfId="0" applyNumberFormat="1" applyFont="1" applyFill="1" applyBorder="1" applyAlignment="1" applyProtection="1">
      <alignment horizontal="center" vertical="center" wrapText="1"/>
      <protection locked="0"/>
    </xf>
    <xf numFmtId="9" fontId="24" fillId="0" borderId="10" xfId="60" applyNumberFormat="1" applyFont="1" applyFill="1" applyBorder="1" applyAlignment="1" applyProtection="1">
      <alignment horizontal="center" vertical="center" wrapText="1"/>
      <protection locked="0"/>
    </xf>
    <xf numFmtId="9" fontId="24" fillId="36" borderId="10" xfId="60" applyNumberFormat="1" applyFont="1" applyFill="1" applyBorder="1" applyAlignment="1" applyProtection="1">
      <alignment horizontal="center" vertical="center" wrapText="1"/>
      <protection locked="0"/>
    </xf>
    <xf numFmtId="1" fontId="24" fillId="0" borderId="10" xfId="60" applyNumberFormat="1" applyFont="1" applyFill="1" applyBorder="1" applyAlignment="1" applyProtection="1">
      <alignment horizontal="center" vertical="center" wrapText="1"/>
      <protection locked="0"/>
    </xf>
    <xf numFmtId="173" fontId="14" fillId="0" borderId="10" xfId="0" applyNumberFormat="1" applyFont="1" applyFill="1" applyBorder="1" applyAlignment="1" applyProtection="1">
      <alignment horizontal="center" vertical="center" wrapText="1"/>
      <protection/>
    </xf>
    <xf numFmtId="1" fontId="14" fillId="0" borderId="10" xfId="0" applyNumberFormat="1" applyFont="1" applyFill="1" applyBorder="1" applyAlignment="1" applyProtection="1">
      <alignment horizontal="center" vertical="center" wrapText="1"/>
      <protection/>
    </xf>
    <xf numFmtId="9" fontId="111" fillId="0" borderId="10" xfId="60" applyNumberFormat="1"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9" fillId="35" borderId="10" xfId="0" applyFont="1" applyFill="1" applyBorder="1" applyAlignment="1" applyProtection="1">
      <alignment horizontal="center" vertical="center" wrapText="1"/>
      <protection/>
    </xf>
    <xf numFmtId="0" fontId="19" fillId="35" borderId="10" xfId="0" applyFont="1" applyFill="1" applyBorder="1" applyAlignment="1" applyProtection="1">
      <alignment horizontal="left" vertical="center" wrapText="1"/>
      <protection/>
    </xf>
    <xf numFmtId="0" fontId="19" fillId="35" borderId="10" xfId="0" applyFont="1" applyFill="1" applyBorder="1" applyAlignment="1" applyProtection="1">
      <alignment horizontal="justify" vertical="center" wrapText="1"/>
      <protection/>
    </xf>
    <xf numFmtId="0" fontId="111" fillId="35" borderId="10" xfId="0" applyFont="1" applyFill="1" applyBorder="1" applyAlignment="1" applyProtection="1">
      <alignment horizontal="center" vertical="center"/>
      <protection/>
    </xf>
    <xf numFmtId="0" fontId="19" fillId="35" borderId="10" xfId="0" applyNumberFormat="1" applyFont="1" applyFill="1" applyBorder="1" applyAlignment="1" applyProtection="1">
      <alignment horizontal="justify" vertical="center" wrapText="1"/>
      <protection/>
    </xf>
    <xf numFmtId="174" fontId="19" fillId="35" borderId="10" xfId="48" applyNumberFormat="1" applyFont="1" applyFill="1" applyBorder="1" applyAlignment="1" applyProtection="1" quotePrefix="1">
      <alignment horizontal="center" vertical="center"/>
      <protection/>
    </xf>
    <xf numFmtId="0" fontId="13" fillId="35" borderId="10" xfId="0" applyFont="1" applyFill="1" applyBorder="1" applyAlignment="1" applyProtection="1">
      <alignment horizontal="center" vertical="center"/>
      <protection/>
    </xf>
    <xf numFmtId="9" fontId="14" fillId="35" borderId="10" xfId="0" applyNumberFormat="1" applyFont="1" applyFill="1" applyBorder="1" applyAlignment="1" applyProtection="1">
      <alignment horizontal="center" vertical="center" wrapText="1"/>
      <protection/>
    </xf>
    <xf numFmtId="0" fontId="111" fillId="35" borderId="10" xfId="0" applyFont="1" applyFill="1" applyBorder="1" applyAlignment="1" applyProtection="1">
      <alignment horizontal="center" vertical="center" wrapText="1"/>
      <protection/>
    </xf>
    <xf numFmtId="0" fontId="111" fillId="35" borderId="10" xfId="0" applyFont="1" applyFill="1" applyBorder="1" applyAlignment="1" applyProtection="1">
      <alignment horizontal="justify" vertical="center" wrapText="1"/>
      <protection/>
    </xf>
    <xf numFmtId="0" fontId="111" fillId="35" borderId="10" xfId="0" applyFont="1" applyFill="1" applyBorder="1" applyAlignment="1" applyProtection="1">
      <alignment horizontal="left" vertical="center" wrapText="1"/>
      <protection/>
    </xf>
    <xf numFmtId="0" fontId="111" fillId="35" borderId="12" xfId="0" applyFont="1" applyFill="1" applyBorder="1" applyAlignment="1" applyProtection="1">
      <alignment horizontal="center" vertical="center" wrapText="1"/>
      <protection/>
    </xf>
    <xf numFmtId="0" fontId="112" fillId="35" borderId="12" xfId="0" applyFont="1" applyFill="1" applyBorder="1" applyAlignment="1" applyProtection="1">
      <alignment vertical="top" wrapText="1"/>
      <protection/>
    </xf>
    <xf numFmtId="0" fontId="111" fillId="35" borderId="12" xfId="0" applyFont="1" applyFill="1" applyBorder="1" applyAlignment="1" applyProtection="1">
      <alignment horizontal="justify" vertical="center" wrapText="1"/>
      <protection/>
    </xf>
    <xf numFmtId="0" fontId="111" fillId="35" borderId="12" xfId="0" applyFont="1" applyFill="1" applyBorder="1" applyAlignment="1" applyProtection="1">
      <alignment horizontal="center" vertical="center"/>
      <protection/>
    </xf>
    <xf numFmtId="0" fontId="111" fillId="35" borderId="12" xfId="0" applyFont="1" applyFill="1" applyBorder="1" applyAlignment="1" applyProtection="1">
      <alignment horizontal="left" vertical="center" wrapText="1"/>
      <protection/>
    </xf>
    <xf numFmtId="174" fontId="111" fillId="0" borderId="10" xfId="48" applyNumberFormat="1" applyFont="1" applyFill="1" applyBorder="1" applyAlignment="1" applyProtection="1" quotePrefix="1">
      <alignment horizontal="center" vertical="center"/>
      <protection/>
    </xf>
    <xf numFmtId="174" fontId="111" fillId="0" borderId="12" xfId="48" applyNumberFormat="1" applyFont="1" applyFill="1" applyBorder="1" applyAlignment="1" applyProtection="1" quotePrefix="1">
      <alignment horizontal="center" vertical="center"/>
      <protection/>
    </xf>
    <xf numFmtId="174" fontId="111" fillId="35" borderId="10" xfId="48" applyNumberFormat="1" applyFont="1" applyFill="1" applyBorder="1" applyAlignment="1" applyProtection="1" quotePrefix="1">
      <alignment horizontal="center" vertical="center"/>
      <protection/>
    </xf>
    <xf numFmtId="174" fontId="111" fillId="35" borderId="12" xfId="48" applyNumberFormat="1" applyFont="1" applyFill="1" applyBorder="1" applyAlignment="1" applyProtection="1" quotePrefix="1">
      <alignment horizontal="center" vertical="center"/>
      <protection/>
    </xf>
    <xf numFmtId="0" fontId="114" fillId="0" borderId="10" xfId="0" applyFont="1" applyFill="1" applyBorder="1" applyAlignment="1" applyProtection="1">
      <alignment horizontal="center" vertical="center" textRotation="90"/>
      <protection/>
    </xf>
    <xf numFmtId="0" fontId="25" fillId="0" borderId="0" xfId="0" applyFont="1" applyFill="1" applyAlignment="1" applyProtection="1">
      <alignment horizontal="left" vertical="center"/>
      <protection/>
    </xf>
    <xf numFmtId="0" fontId="25" fillId="0" borderId="0" xfId="0" applyFont="1" applyFill="1" applyAlignment="1" applyProtection="1">
      <alignment horizontal="center" vertical="center"/>
      <protection/>
    </xf>
    <xf numFmtId="0" fontId="11" fillId="34" borderId="0" xfId="0" applyFont="1" applyFill="1" applyAlignment="1" applyProtection="1">
      <alignment vertical="center"/>
      <protection/>
    </xf>
    <xf numFmtId="0" fontId="26" fillId="0" borderId="0" xfId="0" applyFont="1" applyAlignment="1" applyProtection="1">
      <alignment horizontal="left"/>
      <protection/>
    </xf>
    <xf numFmtId="0" fontId="26" fillId="0" borderId="0" xfId="0" applyFont="1" applyAlignment="1" applyProtection="1">
      <alignment horizontal="center"/>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left" vertical="center" wrapText="1"/>
      <protection/>
    </xf>
    <xf numFmtId="0" fontId="12" fillId="33" borderId="12" xfId="0" applyFont="1" applyFill="1" applyBorder="1" applyAlignment="1" applyProtection="1">
      <alignment horizontal="center" vertical="center" wrapText="1"/>
      <protection/>
    </xf>
    <xf numFmtId="0" fontId="12" fillId="33" borderId="12" xfId="0" applyFont="1" applyFill="1" applyBorder="1" applyAlignment="1" applyProtection="1">
      <alignment horizontal="left" vertical="center" wrapText="1"/>
      <protection/>
    </xf>
    <xf numFmtId="0" fontId="10" fillId="33" borderId="15" xfId="0" applyFont="1" applyFill="1" applyBorder="1" applyAlignment="1" applyProtection="1">
      <alignment horizontal="center" vertical="center" wrapText="1"/>
      <protection/>
    </xf>
    <xf numFmtId="0" fontId="29" fillId="33" borderId="14"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18" fillId="0" borderId="16" xfId="0" applyNumberFormat="1" applyFont="1" applyBorder="1" applyAlignment="1" applyProtection="1">
      <alignment horizontal="center" vertical="center"/>
      <protection/>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0" fillId="35" borderId="10" xfId="0" applyFont="1" applyFill="1" applyBorder="1" applyAlignment="1" applyProtection="1">
      <alignment horizontal="center" vertical="center"/>
      <protection/>
    </xf>
    <xf numFmtId="0" fontId="30" fillId="35" borderId="10" xfId="0" applyFont="1" applyFill="1" applyBorder="1" applyAlignment="1" applyProtection="1">
      <alignment horizontal="justify" vertical="center" wrapText="1"/>
      <protection/>
    </xf>
    <xf numFmtId="0" fontId="30" fillId="35" borderId="10" xfId="0" applyFont="1" applyFill="1" applyBorder="1" applyAlignment="1" applyProtection="1">
      <alignment horizontal="center" vertical="center" wrapText="1"/>
      <protection/>
    </xf>
    <xf numFmtId="9" fontId="30" fillId="35" borderId="10" xfId="0" applyNumberFormat="1" applyFont="1" applyFill="1" applyBorder="1" applyAlignment="1" applyProtection="1">
      <alignment horizontal="center" vertical="center" wrapText="1"/>
      <protection/>
    </xf>
    <xf numFmtId="10" fontId="31" fillId="35" borderId="10" xfId="0" applyNumberFormat="1" applyFont="1" applyFill="1" applyBorder="1" applyAlignment="1" applyProtection="1">
      <alignment horizontal="left" vertical="center" wrapText="1"/>
      <protection locked="0"/>
    </xf>
    <xf numFmtId="0" fontId="18" fillId="35" borderId="10" xfId="0" applyFont="1" applyFill="1" applyBorder="1" applyAlignment="1" applyProtection="1">
      <alignment horizontal="left" vertical="center" wrapText="1"/>
      <protection locked="0"/>
    </xf>
    <xf numFmtId="0" fontId="111" fillId="35" borderId="0" xfId="0" applyFont="1" applyFill="1" applyAlignment="1" applyProtection="1">
      <alignment horizontal="left" vertical="center"/>
      <protection/>
    </xf>
    <xf numFmtId="169" fontId="18" fillId="35" borderId="10" xfId="50" applyNumberFormat="1" applyFont="1" applyFill="1" applyBorder="1" applyAlignment="1" applyProtection="1">
      <alignment horizontal="left" vertical="center" wrapText="1"/>
      <protection/>
    </xf>
    <xf numFmtId="0" fontId="32" fillId="35" borderId="0" xfId="0" applyFont="1" applyFill="1" applyAlignment="1" applyProtection="1">
      <alignment horizontal="left" vertical="center"/>
      <protection/>
    </xf>
    <xf numFmtId="0" fontId="18" fillId="0" borderId="16" xfId="0" applyNumberFormat="1"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wrapText="1"/>
      <protection/>
    </xf>
    <xf numFmtId="0" fontId="31" fillId="35" borderId="10" xfId="0" applyFont="1" applyFill="1" applyBorder="1" applyAlignment="1" applyProtection="1">
      <alignment horizontal="center" vertical="center" wrapText="1"/>
      <protection/>
    </xf>
    <xf numFmtId="173" fontId="2" fillId="0" borderId="10" xfId="60" applyNumberFormat="1" applyFont="1" applyBorder="1" applyAlignment="1">
      <alignment horizontal="center" vertical="center" wrapText="1"/>
    </xf>
    <xf numFmtId="0" fontId="12" fillId="37" borderId="10" xfId="0" applyFont="1" applyFill="1" applyBorder="1" applyAlignment="1" applyProtection="1">
      <alignment horizontal="center" vertical="center"/>
      <protection/>
    </xf>
    <xf numFmtId="0" fontId="12" fillId="37" borderId="10" xfId="0" applyFont="1" applyFill="1" applyBorder="1" applyAlignment="1" applyProtection="1">
      <alignment vertical="center"/>
      <protection/>
    </xf>
    <xf numFmtId="0" fontId="20" fillId="37" borderId="10" xfId="0" applyFont="1" applyFill="1" applyBorder="1" applyAlignment="1" applyProtection="1">
      <alignment horizontal="center" vertical="center"/>
      <protection/>
    </xf>
    <xf numFmtId="169" fontId="12" fillId="37" borderId="10" xfId="0" applyNumberFormat="1" applyFont="1" applyFill="1" applyBorder="1" applyAlignment="1" applyProtection="1">
      <alignment vertical="center"/>
      <protection/>
    </xf>
    <xf numFmtId="0" fontId="113" fillId="37" borderId="0" xfId="0" applyFont="1" applyFill="1" applyAlignment="1" applyProtection="1">
      <alignment vertical="center"/>
      <protection/>
    </xf>
    <xf numFmtId="0" fontId="20" fillId="37" borderId="0" xfId="0" applyFont="1" applyFill="1" applyAlignment="1" applyProtection="1">
      <alignment vertical="center"/>
      <protection/>
    </xf>
    <xf numFmtId="0" fontId="113" fillId="0" borderId="0" xfId="0" applyFont="1" applyAlignment="1" applyProtection="1">
      <alignment horizontal="center" vertical="center"/>
      <protection/>
    </xf>
    <xf numFmtId="0" fontId="113" fillId="34" borderId="0" xfId="0" applyFont="1" applyFill="1" applyAlignment="1" applyProtection="1">
      <alignment horizontal="center" vertical="center"/>
      <protection/>
    </xf>
    <xf numFmtId="0" fontId="113" fillId="34" borderId="0" xfId="0" applyFont="1" applyFill="1" applyAlignment="1" applyProtection="1">
      <alignment vertical="center"/>
      <protection/>
    </xf>
    <xf numFmtId="0" fontId="113" fillId="34" borderId="0" xfId="0" applyFont="1" applyFill="1" applyAlignment="1" applyProtection="1">
      <alignment horizontal="left" vertical="center"/>
      <protection/>
    </xf>
    <xf numFmtId="0" fontId="113" fillId="0" borderId="0" xfId="0" applyFont="1" applyFill="1" applyAlignment="1" applyProtection="1">
      <alignment horizontal="center" vertical="center"/>
      <protection/>
    </xf>
    <xf numFmtId="0" fontId="113" fillId="0" borderId="0" xfId="0" applyFont="1" applyFill="1" applyAlignment="1" applyProtection="1">
      <alignment horizontal="left" vertical="center"/>
      <protection/>
    </xf>
    <xf numFmtId="0" fontId="113" fillId="0" borderId="0" xfId="0" applyFont="1" applyFill="1" applyAlignment="1" applyProtection="1">
      <alignment vertical="center"/>
      <protection/>
    </xf>
    <xf numFmtId="0" fontId="113" fillId="0" borderId="0" xfId="0" applyFont="1" applyAlignment="1" applyProtection="1">
      <alignment vertical="center"/>
      <protection/>
    </xf>
    <xf numFmtId="0" fontId="20" fillId="34" borderId="0" xfId="0" applyFont="1" applyFill="1" applyAlignment="1" applyProtection="1">
      <alignment vertical="center"/>
      <protection/>
    </xf>
    <xf numFmtId="0" fontId="18" fillId="38" borderId="10" xfId="0" applyNumberFormat="1" applyFont="1" applyFill="1" applyBorder="1" applyAlignment="1" applyProtection="1">
      <alignment horizontal="center" vertical="center" wrapText="1"/>
      <protection/>
    </xf>
    <xf numFmtId="0" fontId="18" fillId="38" borderId="10" xfId="0" applyNumberFormat="1" applyFont="1" applyFill="1" applyBorder="1" applyAlignment="1" applyProtection="1">
      <alignment vertical="center" wrapText="1"/>
      <protection/>
    </xf>
    <xf numFmtId="0" fontId="18" fillId="38" borderId="10" xfId="0" applyNumberFormat="1" applyFont="1" applyFill="1" applyBorder="1" applyAlignment="1" applyProtection="1">
      <alignment horizontal="justify" vertical="center" wrapText="1"/>
      <protection/>
    </xf>
    <xf numFmtId="0" fontId="115" fillId="38" borderId="10" xfId="0" applyNumberFormat="1" applyFont="1" applyFill="1" applyBorder="1" applyAlignment="1" applyProtection="1">
      <alignment horizontal="center" vertical="center" wrapText="1"/>
      <protection/>
    </xf>
    <xf numFmtId="0" fontId="115" fillId="38" borderId="10" xfId="0" applyNumberFormat="1" applyFont="1" applyFill="1" applyBorder="1" applyAlignment="1" applyProtection="1">
      <alignment horizontal="justify" vertical="center" wrapText="1"/>
      <protection/>
    </xf>
    <xf numFmtId="0" fontId="115" fillId="38" borderId="10" xfId="0" applyNumberFormat="1" applyFont="1" applyFill="1" applyBorder="1" applyAlignment="1" applyProtection="1">
      <alignment vertical="center" wrapText="1"/>
      <protection/>
    </xf>
    <xf numFmtId="0" fontId="105" fillId="38" borderId="10" xfId="0" applyFont="1" applyFill="1" applyBorder="1" applyAlignment="1" applyProtection="1">
      <alignment horizontal="justify" vertical="center" wrapText="1"/>
      <protection/>
    </xf>
    <xf numFmtId="0" fontId="105" fillId="38" borderId="10" xfId="0" applyFont="1" applyFill="1" applyBorder="1" applyAlignment="1" applyProtection="1">
      <alignment horizontal="center" vertical="center"/>
      <protection/>
    </xf>
    <xf numFmtId="0" fontId="105" fillId="38" borderId="10" xfId="0" applyFont="1" applyFill="1" applyBorder="1" applyAlignment="1" applyProtection="1">
      <alignment horizontal="center" vertical="center"/>
      <protection/>
    </xf>
    <xf numFmtId="0" fontId="105" fillId="38" borderId="10" xfId="0" applyFont="1" applyFill="1" applyBorder="1" applyAlignment="1" applyProtection="1">
      <alignment vertical="center"/>
      <protection/>
    </xf>
    <xf numFmtId="0" fontId="105" fillId="38" borderId="10" xfId="0" applyNumberFormat="1" applyFont="1" applyFill="1" applyBorder="1" applyAlignment="1" applyProtection="1">
      <alignment horizontal="center" vertical="center" wrapText="1"/>
      <protection/>
    </xf>
    <xf numFmtId="0" fontId="116" fillId="38" borderId="10" xfId="0" applyFont="1" applyFill="1" applyBorder="1" applyAlignment="1" applyProtection="1">
      <alignment horizontal="justify" vertical="center" wrapText="1"/>
      <protection locked="0"/>
    </xf>
    <xf numFmtId="0" fontId="0" fillId="35" borderId="0" xfId="0" applyFill="1" applyAlignment="1" applyProtection="1">
      <alignment vertical="center"/>
      <protection locked="0"/>
    </xf>
    <xf numFmtId="0" fontId="30" fillId="35" borderId="10" xfId="0" applyFont="1" applyFill="1" applyBorder="1" applyAlignment="1" applyProtection="1" quotePrefix="1">
      <alignment horizontal="center" vertical="center"/>
      <protection/>
    </xf>
    <xf numFmtId="177" fontId="30" fillId="35" borderId="10" xfId="56" applyNumberFormat="1" applyFont="1" applyFill="1" applyBorder="1" applyAlignment="1" applyProtection="1">
      <alignment horizontal="center" vertical="center" wrapText="1"/>
      <protection/>
    </xf>
    <xf numFmtId="0" fontId="30" fillId="35" borderId="10" xfId="0" applyFont="1" applyFill="1" applyBorder="1" applyAlignment="1" applyProtection="1">
      <alignment horizontal="justify" vertical="center"/>
      <protection locked="0"/>
    </xf>
    <xf numFmtId="0" fontId="30" fillId="35" borderId="0" xfId="0" applyFont="1" applyFill="1" applyAlignment="1" applyProtection="1">
      <alignment horizontal="justify" vertical="center"/>
      <protection locked="0"/>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0" xfId="0" applyFont="1" applyAlignment="1" applyProtection="1">
      <alignment vertical="center" wrapText="1"/>
      <protection locked="0"/>
    </xf>
    <xf numFmtId="0" fontId="18" fillId="36" borderId="10" xfId="0" applyNumberFormat="1" applyFont="1" applyFill="1" applyBorder="1" applyAlignment="1" applyProtection="1">
      <alignment horizontal="center" vertical="center" wrapText="1"/>
      <protection locked="0"/>
    </xf>
    <xf numFmtId="0" fontId="18" fillId="36" borderId="10" xfId="0" applyNumberFormat="1" applyFont="1" applyFill="1" applyBorder="1" applyAlignment="1" applyProtection="1">
      <alignment vertical="center" wrapText="1"/>
      <protection locked="0"/>
    </xf>
    <xf numFmtId="0" fontId="18" fillId="36" borderId="10" xfId="0" applyNumberFormat="1" applyFont="1" applyFill="1" applyBorder="1" applyAlignment="1" applyProtection="1">
      <alignment horizontal="justify" vertical="center" wrapText="1"/>
      <protection locked="0"/>
    </xf>
    <xf numFmtId="0" fontId="115" fillId="36" borderId="10" xfId="0" applyNumberFormat="1" applyFont="1" applyFill="1" applyBorder="1" applyAlignment="1" applyProtection="1">
      <alignment horizontal="center" vertical="center" wrapText="1"/>
      <protection locked="0"/>
    </xf>
    <xf numFmtId="0" fontId="115" fillId="36" borderId="10" xfId="0" applyNumberFormat="1" applyFont="1" applyFill="1" applyBorder="1" applyAlignment="1" applyProtection="1">
      <alignment horizontal="justify" vertical="center" wrapText="1"/>
      <protection locked="0"/>
    </xf>
    <xf numFmtId="0" fontId="115" fillId="36" borderId="10" xfId="0" applyNumberFormat="1" applyFont="1" applyFill="1" applyBorder="1" applyAlignment="1" applyProtection="1">
      <alignment vertical="center" wrapText="1"/>
      <protection locked="0"/>
    </xf>
    <xf numFmtId="0" fontId="105" fillId="36" borderId="10" xfId="0" applyFont="1" applyFill="1" applyBorder="1" applyAlignment="1" applyProtection="1">
      <alignment horizontal="justify" vertical="center" wrapText="1"/>
      <protection locked="0"/>
    </xf>
    <xf numFmtId="0" fontId="105" fillId="36" borderId="10" xfId="0" applyFont="1" applyFill="1" applyBorder="1" applyAlignment="1" applyProtection="1">
      <alignment horizontal="center" vertical="center"/>
      <protection locked="0"/>
    </xf>
    <xf numFmtId="0" fontId="105" fillId="36" borderId="10" xfId="0" applyFont="1" applyFill="1" applyBorder="1" applyAlignment="1" applyProtection="1">
      <alignment horizontal="center" vertical="center"/>
      <protection locked="0"/>
    </xf>
    <xf numFmtId="0" fontId="105" fillId="36" borderId="10" xfId="0" applyFont="1" applyFill="1" applyBorder="1" applyAlignment="1" applyProtection="1">
      <alignment vertical="center"/>
      <protection locked="0"/>
    </xf>
    <xf numFmtId="0" fontId="105" fillId="36" borderId="10" xfId="0" applyNumberFormat="1" applyFont="1" applyFill="1" applyBorder="1" applyAlignment="1" applyProtection="1">
      <alignment horizontal="center" vertical="center" wrapText="1"/>
      <protection locked="0"/>
    </xf>
    <xf numFmtId="9" fontId="117" fillId="36" borderId="10" xfId="60" applyNumberFormat="1" applyFont="1" applyFill="1" applyBorder="1" applyAlignment="1" applyProtection="1">
      <alignment horizontal="center" vertical="center" wrapText="1"/>
      <protection locked="0"/>
    </xf>
    <xf numFmtId="0" fontId="116" fillId="36" borderId="10" xfId="0" applyFont="1" applyFill="1" applyBorder="1" applyAlignment="1" applyProtection="1">
      <alignment horizontal="justify" vertical="center" wrapText="1"/>
      <protection locked="0"/>
    </xf>
    <xf numFmtId="173" fontId="23" fillId="35" borderId="10" xfId="0" applyNumberFormat="1"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vertical="center" wrapText="1"/>
      <protection locked="0"/>
    </xf>
    <xf numFmtId="0" fontId="111" fillId="35" borderId="10" xfId="0" applyFont="1" applyFill="1" applyBorder="1" applyAlignment="1" applyProtection="1">
      <alignment horizontal="center" vertical="center"/>
      <protection locked="0"/>
    </xf>
    <xf numFmtId="9" fontId="34" fillId="0" borderId="10" xfId="60" applyNumberFormat="1" applyFont="1" applyFill="1" applyBorder="1" applyAlignment="1" applyProtection="1">
      <alignment horizontal="center" vertical="center" wrapText="1"/>
      <protection locked="0"/>
    </xf>
    <xf numFmtId="173" fontId="34" fillId="35" borderId="10" xfId="60" applyNumberFormat="1" applyFont="1" applyFill="1" applyBorder="1" applyAlignment="1" applyProtection="1">
      <alignment horizontal="center" vertical="center" wrapText="1"/>
      <protection locked="0"/>
    </xf>
    <xf numFmtId="9" fontId="24" fillId="39" borderId="10" xfId="60" applyNumberFormat="1" applyFont="1" applyFill="1" applyBorder="1" applyAlignment="1" applyProtection="1">
      <alignment horizontal="center" vertical="center" wrapText="1"/>
      <protection locked="0"/>
    </xf>
    <xf numFmtId="0" fontId="13" fillId="35" borderId="10" xfId="0" applyFont="1" applyFill="1" applyBorder="1" applyAlignment="1" applyProtection="1">
      <alignment vertical="center" wrapText="1"/>
      <protection locked="0"/>
    </xf>
    <xf numFmtId="9" fontId="35" fillId="35" borderId="10" xfId="60" applyNumberFormat="1" applyFont="1" applyFill="1" applyBorder="1" applyAlignment="1" applyProtection="1">
      <alignment horizontal="center" vertical="center" wrapText="1"/>
      <protection locked="0"/>
    </xf>
    <xf numFmtId="9" fontId="35" fillId="39" borderId="10" xfId="60" applyNumberFormat="1" applyFont="1" applyFill="1" applyBorder="1" applyAlignment="1" applyProtection="1">
      <alignment horizontal="center" vertical="center" wrapText="1"/>
      <protection locked="0"/>
    </xf>
    <xf numFmtId="0" fontId="13" fillId="39" borderId="10" xfId="0" applyFont="1" applyFill="1" applyBorder="1" applyAlignment="1" applyProtection="1">
      <alignment horizontal="justify" vertical="center" wrapText="1"/>
      <protection locked="0"/>
    </xf>
    <xf numFmtId="0" fontId="118" fillId="0" borderId="17" xfId="0" applyFont="1" applyBorder="1" applyAlignment="1" applyProtection="1">
      <alignment horizontal="justify" wrapText="1"/>
      <protection locked="0"/>
    </xf>
    <xf numFmtId="0" fontId="33" fillId="0" borderId="10"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protection/>
    </xf>
    <xf numFmtId="169" fontId="23" fillId="35" borderId="12" xfId="50" applyNumberFormat="1" applyFont="1" applyFill="1" applyBorder="1" applyAlignment="1" applyProtection="1">
      <alignment horizontal="left" vertical="center" wrapText="1"/>
      <protection locked="0"/>
    </xf>
    <xf numFmtId="169" fontId="23" fillId="35" borderId="21" xfId="50" applyNumberFormat="1" applyFont="1" applyFill="1" applyBorder="1" applyAlignment="1" applyProtection="1">
      <alignment horizontal="left" vertical="center" wrapText="1"/>
      <protection locked="0"/>
    </xf>
    <xf numFmtId="0" fontId="12" fillId="33" borderId="22"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26" fillId="0" borderId="0" xfId="0" applyFont="1" applyAlignment="1" applyProtection="1">
      <alignment horizontal="left"/>
      <protection/>
    </xf>
    <xf numFmtId="0" fontId="119" fillId="0" borderId="0" xfId="0" applyFont="1" applyAlignment="1" applyProtection="1">
      <alignment horizontal="left"/>
      <protection locked="0"/>
    </xf>
    <xf numFmtId="0" fontId="27" fillId="33" borderId="12" xfId="0" applyFont="1" applyFill="1" applyBorder="1" applyAlignment="1" applyProtection="1">
      <alignment horizontal="center" vertical="center" wrapText="1"/>
      <protection/>
    </xf>
    <xf numFmtId="0" fontId="27" fillId="33" borderId="21" xfId="0" applyFont="1" applyFill="1" applyBorder="1" applyAlignment="1" applyProtection="1">
      <alignment horizontal="center" vertical="center" wrapText="1"/>
      <protection/>
    </xf>
    <xf numFmtId="0" fontId="28" fillId="33" borderId="28" xfId="0" applyFont="1" applyFill="1" applyBorder="1" applyAlignment="1" applyProtection="1">
      <alignment horizontal="center" vertical="center" wrapText="1"/>
      <protection/>
    </xf>
    <xf numFmtId="0" fontId="28" fillId="33" borderId="29" xfId="0" applyFont="1" applyFill="1" applyBorder="1" applyAlignment="1" applyProtection="1">
      <alignment horizontal="center" vertical="center" wrapText="1"/>
      <protection/>
    </xf>
    <xf numFmtId="0" fontId="12" fillId="33" borderId="30" xfId="0" applyFont="1" applyFill="1" applyBorder="1" applyAlignment="1" applyProtection="1">
      <alignment horizontal="center" vertical="center" wrapText="1"/>
      <protection/>
    </xf>
    <xf numFmtId="0" fontId="12" fillId="33" borderId="31"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wrapText="1"/>
      <protection/>
    </xf>
    <xf numFmtId="0" fontId="10" fillId="33" borderId="32"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15" fillId="36" borderId="28" xfId="0" applyFont="1" applyFill="1" applyBorder="1" applyAlignment="1" applyProtection="1">
      <alignment horizontal="center" vertical="center"/>
      <protection/>
    </xf>
    <xf numFmtId="0" fontId="15" fillId="36" borderId="33" xfId="0" applyFont="1" applyFill="1" applyBorder="1" applyAlignment="1" applyProtection="1">
      <alignment horizontal="center" vertical="center"/>
      <protection/>
    </xf>
    <xf numFmtId="0" fontId="15" fillId="36" borderId="29" xfId="0" applyFont="1" applyFill="1" applyBorder="1" applyAlignment="1" applyProtection="1">
      <alignment horizontal="center" vertical="center"/>
      <protection/>
    </xf>
    <xf numFmtId="0" fontId="3" fillId="33" borderId="34" xfId="0" applyFont="1" applyFill="1" applyBorder="1" applyAlignment="1" applyProtection="1">
      <alignment horizontal="center" vertical="center" wrapText="1"/>
      <protection/>
    </xf>
    <xf numFmtId="0" fontId="12" fillId="33" borderId="35" xfId="0" applyFont="1" applyFill="1" applyBorder="1" applyAlignment="1" applyProtection="1">
      <alignment horizontal="center" vertical="center" wrapText="1"/>
      <protection/>
    </xf>
    <xf numFmtId="0" fontId="57" fillId="0" borderId="36" xfId="0" applyFont="1" applyBorder="1" applyAlignment="1">
      <alignment horizontal="center"/>
    </xf>
    <xf numFmtId="0" fontId="57" fillId="0" borderId="37" xfId="0" applyFont="1" applyBorder="1" applyAlignment="1">
      <alignment horizontal="center"/>
    </xf>
    <xf numFmtId="0" fontId="57" fillId="0" borderId="38" xfId="0" applyFont="1" applyBorder="1" applyAlignment="1">
      <alignment horizontal="center"/>
    </xf>
    <xf numFmtId="0" fontId="58" fillId="0" borderId="39" xfId="0" applyFont="1" applyBorder="1" applyAlignment="1">
      <alignment horizontal="center" wrapText="1"/>
    </xf>
    <xf numFmtId="0" fontId="58" fillId="0" borderId="40" xfId="0" applyFont="1" applyBorder="1" applyAlignment="1">
      <alignment horizontal="center" wrapText="1"/>
    </xf>
    <xf numFmtId="0" fontId="58" fillId="0" borderId="41" xfId="0" applyFont="1" applyBorder="1" applyAlignment="1">
      <alignment horizontal="center" wrapText="1"/>
    </xf>
    <xf numFmtId="0" fontId="58" fillId="0" borderId="39" xfId="0" applyFont="1" applyBorder="1" applyAlignment="1">
      <alignment horizontal="left" wrapText="1"/>
    </xf>
    <xf numFmtId="0" fontId="58" fillId="0" borderId="40" xfId="0" applyFont="1" applyBorder="1" applyAlignment="1">
      <alignment horizontal="left" wrapText="1"/>
    </xf>
    <xf numFmtId="0" fontId="58" fillId="0" borderId="41" xfId="0" applyFont="1" applyBorder="1" applyAlignment="1">
      <alignment horizontal="left" wrapText="1"/>
    </xf>
    <xf numFmtId="0" fontId="57" fillId="0" borderId="39" xfId="0" applyFont="1" applyBorder="1" applyAlignment="1">
      <alignment horizontal="center"/>
    </xf>
    <xf numFmtId="0" fontId="57" fillId="0" borderId="40" xfId="0" applyFont="1" applyBorder="1" applyAlignment="1">
      <alignment horizontal="center"/>
    </xf>
    <xf numFmtId="0" fontId="57" fillId="0" borderId="41" xfId="0" applyFont="1" applyBorder="1" applyAlignment="1">
      <alignment/>
    </xf>
    <xf numFmtId="0" fontId="57" fillId="0" borderId="41" xfId="0" applyFont="1" applyBorder="1" applyAlignment="1">
      <alignment horizontal="center"/>
    </xf>
    <xf numFmtId="0" fontId="57" fillId="0" borderId="39" xfId="0" applyFont="1" applyBorder="1" applyAlignment="1">
      <alignment horizontal="center" wrapText="1"/>
    </xf>
    <xf numFmtId="0" fontId="57" fillId="0" borderId="40" xfId="0" applyFont="1" applyBorder="1" applyAlignment="1">
      <alignment horizontal="center" wrapText="1"/>
    </xf>
    <xf numFmtId="0" fontId="57" fillId="0" borderId="41" xfId="0" applyFont="1" applyBorder="1" applyAlignment="1">
      <alignment horizontal="center" wrapText="1"/>
    </xf>
    <xf numFmtId="0" fontId="57" fillId="0" borderId="0" xfId="0" applyFont="1" applyAlignment="1">
      <alignment/>
    </xf>
    <xf numFmtId="0" fontId="57" fillId="0" borderId="16" xfId="0" applyFont="1" applyBorder="1" applyAlignment="1">
      <alignment horizontal="center"/>
    </xf>
    <xf numFmtId="0" fontId="57" fillId="0" borderId="10" xfId="0" applyFont="1" applyBorder="1" applyAlignment="1">
      <alignment horizontal="center"/>
    </xf>
    <xf numFmtId="0" fontId="57" fillId="0" borderId="42" xfId="0" applyFont="1" applyBorder="1" applyAlignment="1">
      <alignment horizontal="center"/>
    </xf>
    <xf numFmtId="0" fontId="58" fillId="0" borderId="43" xfId="0" applyFont="1" applyBorder="1" applyAlignment="1">
      <alignment horizontal="center" wrapText="1"/>
    </xf>
    <xf numFmtId="0" fontId="58" fillId="0" borderId="0" xfId="0" applyFont="1" applyBorder="1" applyAlignment="1">
      <alignment horizontal="center" wrapText="1"/>
    </xf>
    <xf numFmtId="0" fontId="58" fillId="0" borderId="44" xfId="0" applyFont="1" applyBorder="1" applyAlignment="1">
      <alignment horizontal="center" wrapText="1"/>
    </xf>
    <xf numFmtId="0" fontId="58" fillId="0" borderId="43" xfId="0" applyFont="1" applyBorder="1" applyAlignment="1">
      <alignment horizontal="left" wrapText="1"/>
    </xf>
    <xf numFmtId="0" fontId="58" fillId="0" borderId="0" xfId="0" applyFont="1" applyBorder="1" applyAlignment="1">
      <alignment horizontal="left" wrapText="1"/>
    </xf>
    <xf numFmtId="0" fontId="58" fillId="0" borderId="44" xfId="0" applyFont="1" applyBorder="1" applyAlignment="1">
      <alignment horizontal="left" wrapText="1"/>
    </xf>
    <xf numFmtId="0" fontId="57" fillId="0" borderId="43" xfId="0" applyFont="1" applyBorder="1" applyAlignment="1">
      <alignment horizontal="center"/>
    </xf>
    <xf numFmtId="0" fontId="57" fillId="0" borderId="0" xfId="0" applyFont="1" applyBorder="1" applyAlignment="1">
      <alignment horizontal="center"/>
    </xf>
    <xf numFmtId="0" fontId="57" fillId="0" borderId="44" xfId="0" applyFont="1" applyBorder="1" applyAlignment="1">
      <alignment/>
    </xf>
    <xf numFmtId="0" fontId="57" fillId="0" borderId="44" xfId="0" applyFont="1" applyBorder="1" applyAlignment="1">
      <alignment horizontal="center"/>
    </xf>
    <xf numFmtId="0" fontId="57" fillId="0" borderId="43" xfId="0" applyFont="1" applyBorder="1" applyAlignment="1">
      <alignment horizontal="center" wrapText="1"/>
    </xf>
    <xf numFmtId="0" fontId="57" fillId="0" borderId="0" xfId="0" applyFont="1" applyBorder="1" applyAlignment="1">
      <alignment horizontal="center" wrapText="1"/>
    </xf>
    <xf numFmtId="0" fontId="57" fillId="0" borderId="44" xfId="0" applyFont="1" applyBorder="1" applyAlignment="1">
      <alignment horizontal="center" wrapText="1"/>
    </xf>
    <xf numFmtId="0" fontId="57" fillId="0" borderId="45" xfId="0" applyFont="1" applyBorder="1" applyAlignment="1">
      <alignment horizontal="center"/>
    </xf>
    <xf numFmtId="0" fontId="57" fillId="0" borderId="46" xfId="0" applyFont="1" applyBorder="1" applyAlignment="1">
      <alignment horizontal="center"/>
    </xf>
    <xf numFmtId="0" fontId="57" fillId="0" borderId="47" xfId="0" applyFont="1" applyBorder="1" applyAlignment="1">
      <alignment horizontal="center"/>
    </xf>
    <xf numFmtId="0" fontId="58" fillId="0" borderId="48" xfId="0" applyFont="1" applyBorder="1" applyAlignment="1">
      <alignment horizontal="center" wrapText="1"/>
    </xf>
    <xf numFmtId="0" fontId="58" fillId="0" borderId="49" xfId="0" applyFont="1" applyBorder="1" applyAlignment="1">
      <alignment horizontal="center" wrapText="1"/>
    </xf>
    <xf numFmtId="0" fontId="58" fillId="0" borderId="50" xfId="0" applyFont="1" applyBorder="1" applyAlignment="1">
      <alignment horizontal="center" wrapText="1"/>
    </xf>
    <xf numFmtId="0" fontId="58" fillId="0" borderId="48" xfId="0" applyFont="1" applyBorder="1" applyAlignment="1">
      <alignment horizontal="left" wrapText="1"/>
    </xf>
    <xf numFmtId="0" fontId="58" fillId="0" borderId="49" xfId="0" applyFont="1" applyBorder="1" applyAlignment="1">
      <alignment horizontal="left" wrapText="1"/>
    </xf>
    <xf numFmtId="0" fontId="58" fillId="0" borderId="50" xfId="0" applyFont="1" applyBorder="1" applyAlignment="1">
      <alignment horizontal="left" wrapText="1"/>
    </xf>
    <xf numFmtId="0" fontId="57" fillId="0" borderId="48" xfId="0" applyFont="1" applyBorder="1" applyAlignment="1">
      <alignment horizontal="center"/>
    </xf>
    <xf numFmtId="0" fontId="57" fillId="0" borderId="49" xfId="0" applyFont="1" applyBorder="1" applyAlignment="1">
      <alignment horizontal="center"/>
    </xf>
    <xf numFmtId="0" fontId="57" fillId="0" borderId="50" xfId="0" applyFont="1" applyBorder="1" applyAlignment="1">
      <alignment/>
    </xf>
    <xf numFmtId="0" fontId="57" fillId="0" borderId="50" xfId="0" applyFont="1" applyBorder="1" applyAlignment="1">
      <alignment horizontal="center"/>
    </xf>
    <xf numFmtId="0" fontId="57" fillId="0" borderId="48" xfId="0" applyFont="1" applyBorder="1" applyAlignment="1">
      <alignment horizontal="center" wrapText="1"/>
    </xf>
    <xf numFmtId="0" fontId="57" fillId="0" borderId="49" xfId="0" applyFont="1" applyBorder="1" applyAlignment="1">
      <alignment horizontal="center" wrapText="1"/>
    </xf>
    <xf numFmtId="0" fontId="57" fillId="0" borderId="50" xfId="0" applyFont="1" applyBorder="1" applyAlignment="1">
      <alignment horizontal="center" wrapText="1"/>
    </xf>
    <xf numFmtId="0" fontId="62" fillId="0" borderId="0" xfId="0" applyFont="1" applyAlignment="1" applyProtection="1">
      <alignment vertical="center"/>
      <protection/>
    </xf>
    <xf numFmtId="0" fontId="62" fillId="0" borderId="0" xfId="0" applyFont="1" applyFill="1" applyAlignment="1" applyProtection="1">
      <alignment vertical="center"/>
      <protection/>
    </xf>
    <xf numFmtId="0" fontId="63" fillId="0" borderId="0" xfId="0" applyFont="1" applyFill="1" applyAlignment="1" applyProtection="1">
      <alignment vertical="center"/>
      <protection/>
    </xf>
    <xf numFmtId="0" fontId="64" fillId="33" borderId="0" xfId="0" applyFont="1" applyFill="1" applyBorder="1" applyAlignment="1" applyProtection="1">
      <alignment horizontal="center" vertical="center" wrapText="1"/>
      <protection/>
    </xf>
    <xf numFmtId="0" fontId="64" fillId="33" borderId="11" xfId="0" applyFont="1" applyFill="1" applyBorder="1" applyAlignment="1" applyProtection="1">
      <alignment horizontal="center" vertical="center" wrapText="1"/>
      <protection/>
    </xf>
    <xf numFmtId="0" fontId="64" fillId="33" borderId="25" xfId="0" applyFont="1" applyFill="1" applyBorder="1" applyAlignment="1" applyProtection="1">
      <alignment horizontal="center" vertical="center" wrapText="1"/>
      <protection/>
    </xf>
    <xf numFmtId="0" fontId="64" fillId="33" borderId="24" xfId="0" applyFont="1" applyFill="1" applyBorder="1" applyAlignment="1" applyProtection="1">
      <alignment horizontal="center" vertical="center" wrapText="1"/>
      <protection/>
    </xf>
    <xf numFmtId="0" fontId="64" fillId="33" borderId="18" xfId="0" applyFont="1" applyFill="1" applyBorder="1" applyAlignment="1" applyProtection="1">
      <alignment horizontal="center" vertical="center" wrapText="1"/>
      <protection/>
    </xf>
    <xf numFmtId="0" fontId="64" fillId="33" borderId="18" xfId="0" applyFont="1" applyFill="1" applyBorder="1" applyAlignment="1" applyProtection="1">
      <alignment horizontal="center" vertical="center" wrapText="1"/>
      <protection/>
    </xf>
    <xf numFmtId="0" fontId="64" fillId="33" borderId="11" xfId="0" applyFont="1" applyFill="1" applyBorder="1" applyAlignment="1" applyProtection="1">
      <alignment horizontal="center" vertical="center"/>
      <protection/>
    </xf>
    <xf numFmtId="0" fontId="64" fillId="33" borderId="20" xfId="0" applyFont="1" applyFill="1" applyBorder="1" applyAlignment="1" applyProtection="1">
      <alignment horizontal="center" vertical="center"/>
      <protection/>
    </xf>
    <xf numFmtId="0" fontId="64" fillId="33" borderId="10" xfId="0" applyFont="1" applyFill="1" applyBorder="1" applyAlignment="1" applyProtection="1">
      <alignment horizontal="center" vertical="center" wrapText="1"/>
      <protection/>
    </xf>
    <xf numFmtId="0" fontId="64" fillId="33" borderId="20" xfId="0" applyFont="1" applyFill="1" applyBorder="1" applyAlignment="1" applyProtection="1">
      <alignment horizontal="center" vertical="center" wrapText="1"/>
      <protection/>
    </xf>
    <xf numFmtId="0" fontId="64" fillId="33" borderId="11" xfId="0" applyFont="1" applyFill="1" applyBorder="1" applyAlignment="1" applyProtection="1">
      <alignment horizontal="center" vertical="center" wrapText="1"/>
      <protection/>
    </xf>
    <xf numFmtId="0" fontId="64" fillId="33" borderId="12" xfId="0" applyFont="1" applyFill="1" applyBorder="1" applyAlignment="1" applyProtection="1">
      <alignment horizontal="center" vertical="center" wrapText="1"/>
      <protection/>
    </xf>
    <xf numFmtId="0" fontId="62" fillId="40" borderId="10" xfId="0" applyFont="1" applyFill="1" applyBorder="1" applyAlignment="1" applyProtection="1">
      <alignment horizontal="center" vertical="center" wrapText="1"/>
      <protection/>
    </xf>
    <xf numFmtId="172" fontId="65" fillId="40" borderId="10"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62" fillId="0" borderId="12" xfId="0" applyFont="1" applyFill="1" applyBorder="1" applyAlignment="1" applyProtection="1">
      <alignment horizontal="left" vertical="center" wrapText="1" indent="1"/>
      <protection/>
    </xf>
    <xf numFmtId="0" fontId="62" fillId="0" borderId="51"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9" fontId="62" fillId="0" borderId="12" xfId="0" applyNumberFormat="1" applyFont="1" applyFill="1" applyBorder="1" applyAlignment="1" applyProtection="1">
      <alignment horizontal="center" vertical="center" wrapText="1"/>
      <protection/>
    </xf>
    <xf numFmtId="10" fontId="62" fillId="0" borderId="12" xfId="0" applyNumberFormat="1" applyFont="1" applyFill="1" applyBorder="1" applyAlignment="1" applyProtection="1">
      <alignment horizontal="center" vertical="center" wrapText="1"/>
      <protection locked="0"/>
    </xf>
    <xf numFmtId="169" fontId="62" fillId="0" borderId="12" xfId="50" applyNumberFormat="1" applyFont="1" applyFill="1" applyBorder="1" applyAlignment="1" applyProtection="1">
      <alignment horizontal="center" vertical="center" wrapText="1"/>
      <protection/>
    </xf>
    <xf numFmtId="0" fontId="66" fillId="0" borderId="12" xfId="0" applyFont="1" applyFill="1" applyBorder="1" applyAlignment="1" applyProtection="1">
      <alignment horizontal="justify" vertical="center" wrapText="1"/>
      <protection locked="0"/>
    </xf>
    <xf numFmtId="0" fontId="62" fillId="0" borderId="12" xfId="0" applyFont="1" applyFill="1" applyBorder="1" applyAlignment="1" applyProtection="1">
      <alignment horizontal="left" vertical="center" wrapText="1" indent="1"/>
      <protection locked="0"/>
    </xf>
    <xf numFmtId="0" fontId="62" fillId="0" borderId="52" xfId="0" applyFont="1" applyFill="1" applyBorder="1" applyAlignment="1" applyProtection="1">
      <alignment horizontal="left" vertical="center" wrapText="1" indent="1"/>
      <protection locked="0"/>
    </xf>
    <xf numFmtId="0" fontId="16" fillId="0" borderId="36" xfId="0" applyFont="1" applyFill="1" applyBorder="1" applyAlignment="1" applyProtection="1">
      <alignment vertical="center"/>
      <protection/>
    </xf>
    <xf numFmtId="3" fontId="16" fillId="0" borderId="37" xfId="0" applyNumberFormat="1" applyFont="1" applyFill="1" applyBorder="1" applyAlignment="1" applyProtection="1">
      <alignment horizontal="center" vertical="center"/>
      <protection locked="0"/>
    </xf>
    <xf numFmtId="3" fontId="16" fillId="0" borderId="37" xfId="0" applyNumberFormat="1" applyFont="1" applyFill="1" applyBorder="1" applyAlignment="1" applyProtection="1">
      <alignment horizontal="center" vertical="center"/>
      <protection/>
    </xf>
    <xf numFmtId="169" fontId="62" fillId="0" borderId="0" xfId="0" applyNumberFormat="1" applyFont="1" applyFill="1" applyAlignment="1" applyProtection="1">
      <alignment vertical="center"/>
      <protection/>
    </xf>
    <xf numFmtId="169" fontId="62" fillId="0" borderId="10" xfId="50" applyNumberFormat="1" applyFont="1" applyFill="1" applyBorder="1" applyAlignment="1" applyProtection="1">
      <alignment horizontal="center" vertical="center" wrapText="1"/>
      <protection/>
    </xf>
    <xf numFmtId="0" fontId="62" fillId="40" borderId="0" xfId="0" applyFont="1" applyFill="1" applyAlignment="1" applyProtection="1">
      <alignment vertical="center"/>
      <protection/>
    </xf>
    <xf numFmtId="0" fontId="16" fillId="0" borderId="21" xfId="0" applyFont="1" applyFill="1" applyBorder="1" applyAlignment="1" applyProtection="1">
      <alignment horizontal="center" vertical="center" wrapText="1"/>
      <protection/>
    </xf>
    <xf numFmtId="0" fontId="62" fillId="0" borderId="21" xfId="0" applyFont="1" applyFill="1" applyBorder="1" applyAlignment="1" applyProtection="1">
      <alignment horizontal="left" vertical="center" wrapText="1" indent="1"/>
      <protection/>
    </xf>
    <xf numFmtId="0" fontId="62" fillId="0" borderId="21" xfId="0" applyFont="1" applyFill="1" applyBorder="1" applyAlignment="1" applyProtection="1">
      <alignment horizontal="center" vertical="center" wrapText="1"/>
      <protection/>
    </xf>
    <xf numFmtId="9" fontId="62" fillId="0" borderId="21" xfId="0" applyNumberFormat="1" applyFont="1" applyFill="1" applyBorder="1" applyAlignment="1" applyProtection="1">
      <alignment horizontal="center" vertical="center" wrapText="1"/>
      <protection/>
    </xf>
    <xf numFmtId="10" fontId="62" fillId="0" borderId="21" xfId="0" applyNumberFormat="1" applyFont="1" applyFill="1" applyBorder="1" applyAlignment="1" applyProtection="1">
      <alignment horizontal="center" vertical="center" wrapText="1"/>
      <protection locked="0"/>
    </xf>
    <xf numFmtId="169" fontId="62" fillId="0" borderId="21" xfId="50" applyNumberFormat="1" applyFont="1" applyFill="1" applyBorder="1" applyAlignment="1" applyProtection="1">
      <alignment horizontal="center" vertical="center" wrapText="1"/>
      <protection/>
    </xf>
    <xf numFmtId="0" fontId="66" fillId="0" borderId="21" xfId="0" applyFont="1" applyFill="1" applyBorder="1" applyAlignment="1" applyProtection="1">
      <alignment horizontal="justify" vertical="center" wrapText="1"/>
      <protection locked="0"/>
    </xf>
    <xf numFmtId="0" fontId="62" fillId="0" borderId="21" xfId="0" applyFont="1" applyFill="1" applyBorder="1" applyAlignment="1" applyProtection="1">
      <alignment horizontal="left" vertical="center" wrapText="1" indent="1"/>
      <protection locked="0"/>
    </xf>
    <xf numFmtId="0" fontId="62" fillId="0" borderId="53" xfId="0" applyFont="1" applyFill="1" applyBorder="1" applyAlignment="1" applyProtection="1">
      <alignment horizontal="left" vertical="center" wrapText="1" indent="1"/>
      <protection locked="0"/>
    </xf>
    <xf numFmtId="0" fontId="16" fillId="0" borderId="16" xfId="0" applyFont="1" applyFill="1" applyBorder="1" applyAlignment="1" applyProtection="1">
      <alignment vertical="center"/>
      <protection/>
    </xf>
    <xf numFmtId="3" fontId="16" fillId="0" borderId="10" xfId="0" applyNumberFormat="1" applyFont="1" applyFill="1" applyBorder="1" applyAlignment="1" applyProtection="1">
      <alignment horizontal="center" vertical="center"/>
      <protection locked="0"/>
    </xf>
    <xf numFmtId="3" fontId="16" fillId="0" borderId="10" xfId="0" applyNumberFormat="1" applyFont="1" applyFill="1" applyBorder="1" applyAlignment="1" applyProtection="1">
      <alignment horizontal="center" vertical="center"/>
      <protection/>
    </xf>
    <xf numFmtId="3" fontId="16" fillId="0" borderId="42" xfId="0" applyNumberFormat="1" applyFont="1" applyFill="1" applyBorder="1" applyAlignment="1" applyProtection="1">
      <alignment horizontal="center" vertical="center"/>
      <protection/>
    </xf>
    <xf numFmtId="0" fontId="16" fillId="0" borderId="16" xfId="0" applyFont="1" applyFill="1" applyBorder="1" applyAlignment="1" applyProtection="1">
      <alignment/>
      <protection/>
    </xf>
    <xf numFmtId="0" fontId="17" fillId="0" borderId="16" xfId="0" applyFont="1" applyFill="1" applyBorder="1" applyAlignment="1" applyProtection="1">
      <alignment/>
      <protection/>
    </xf>
    <xf numFmtId="3" fontId="17" fillId="0" borderId="10" xfId="0" applyNumberFormat="1" applyFont="1" applyFill="1" applyBorder="1" applyAlignment="1" applyProtection="1">
      <alignment horizontal="center" vertical="center"/>
      <protection/>
    </xf>
    <xf numFmtId="3" fontId="17" fillId="0" borderId="42" xfId="0" applyNumberFormat="1" applyFont="1" applyFill="1" applyBorder="1" applyAlignment="1" applyProtection="1">
      <alignment horizontal="center" vertical="center"/>
      <protection/>
    </xf>
    <xf numFmtId="0" fontId="17" fillId="0" borderId="54" xfId="0" applyFont="1" applyFill="1" applyBorder="1" applyAlignment="1" applyProtection="1">
      <alignment/>
      <protection/>
    </xf>
    <xf numFmtId="3" fontId="17" fillId="0" borderId="12" xfId="0" applyNumberFormat="1" applyFont="1" applyFill="1" applyBorder="1" applyAlignment="1" applyProtection="1">
      <alignment horizontal="center" vertical="center"/>
      <protection/>
    </xf>
    <xf numFmtId="3" fontId="17" fillId="0" borderId="52" xfId="0" applyNumberFormat="1" applyFont="1" applyFill="1" applyBorder="1" applyAlignment="1" applyProtection="1">
      <alignment horizontal="center" vertical="center"/>
      <protection/>
    </xf>
    <xf numFmtId="0" fontId="16" fillId="0" borderId="13" xfId="0" applyFont="1" applyFill="1" applyBorder="1" applyAlignment="1" applyProtection="1">
      <alignment horizontal="center" vertical="center" wrapText="1"/>
      <protection/>
    </xf>
    <xf numFmtId="0" fontId="62" fillId="0" borderId="13" xfId="0" applyFont="1" applyFill="1" applyBorder="1" applyAlignment="1" applyProtection="1">
      <alignment horizontal="left" vertical="center" wrapText="1" indent="1"/>
      <protection/>
    </xf>
    <xf numFmtId="0" fontId="62" fillId="0" borderId="13" xfId="0" applyFont="1" applyFill="1" applyBorder="1" applyAlignment="1" applyProtection="1">
      <alignment horizontal="center" vertical="center" wrapText="1"/>
      <protection/>
    </xf>
    <xf numFmtId="9" fontId="62" fillId="0" borderId="13" xfId="0" applyNumberFormat="1" applyFont="1" applyFill="1" applyBorder="1" applyAlignment="1" applyProtection="1">
      <alignment horizontal="center" vertical="center" wrapText="1"/>
      <protection/>
    </xf>
    <xf numFmtId="10" fontId="62" fillId="0" borderId="13" xfId="0" applyNumberFormat="1" applyFont="1" applyFill="1" applyBorder="1" applyAlignment="1" applyProtection="1">
      <alignment horizontal="center" vertical="center" wrapText="1"/>
      <protection locked="0"/>
    </xf>
    <xf numFmtId="169" fontId="62" fillId="0" borderId="13" xfId="50" applyNumberFormat="1" applyFont="1" applyFill="1" applyBorder="1" applyAlignment="1" applyProtection="1">
      <alignment horizontal="center" vertical="center" wrapText="1"/>
      <protection/>
    </xf>
    <xf numFmtId="0" fontId="66" fillId="0" borderId="13" xfId="0" applyFont="1" applyFill="1" applyBorder="1" applyAlignment="1" applyProtection="1">
      <alignment horizontal="justify" vertical="center" wrapText="1"/>
      <protection locked="0"/>
    </xf>
    <xf numFmtId="0" fontId="62" fillId="0" borderId="13" xfId="0" applyFont="1" applyFill="1" applyBorder="1" applyAlignment="1" applyProtection="1">
      <alignment horizontal="left" vertical="center" wrapText="1" indent="1"/>
      <protection locked="0"/>
    </xf>
    <xf numFmtId="0" fontId="62" fillId="0" borderId="55" xfId="0" applyFont="1" applyFill="1" applyBorder="1" applyAlignment="1" applyProtection="1">
      <alignment horizontal="left" vertical="center" wrapText="1" indent="1"/>
      <protection locked="0"/>
    </xf>
    <xf numFmtId="0" fontId="16" fillId="0" borderId="45" xfId="0" applyFont="1" applyFill="1" applyBorder="1" applyAlignment="1" applyProtection="1">
      <alignment/>
      <protection/>
    </xf>
    <xf numFmtId="3" fontId="16" fillId="0" borderId="46" xfId="0" applyNumberFormat="1" applyFont="1" applyFill="1" applyBorder="1" applyAlignment="1" applyProtection="1">
      <alignment horizontal="center" vertical="center"/>
      <protection locked="0"/>
    </xf>
    <xf numFmtId="3" fontId="16" fillId="0" borderId="46" xfId="0" applyNumberFormat="1" applyFont="1" applyFill="1" applyBorder="1" applyAlignment="1" applyProtection="1">
      <alignment horizontal="center" vertical="center"/>
      <protection/>
    </xf>
    <xf numFmtId="3" fontId="16" fillId="0" borderId="47" xfId="0" applyNumberFormat="1" applyFont="1" applyFill="1" applyBorder="1" applyAlignment="1" applyProtection="1">
      <alignment horizontal="center" vertical="center"/>
      <protection/>
    </xf>
    <xf numFmtId="0" fontId="62" fillId="41" borderId="10" xfId="0" applyFont="1" applyFill="1" applyBorder="1" applyAlignment="1" applyProtection="1">
      <alignment vertical="center"/>
      <protection/>
    </xf>
    <xf numFmtId="0" fontId="62" fillId="0" borderId="10" xfId="0" applyFont="1" applyFill="1" applyBorder="1" applyAlignment="1" applyProtection="1">
      <alignment vertical="center"/>
      <protection/>
    </xf>
    <xf numFmtId="0" fontId="67" fillId="41" borderId="10" xfId="0" applyFont="1" applyFill="1" applyBorder="1" applyAlignment="1" applyProtection="1">
      <alignment vertical="center"/>
      <protection/>
    </xf>
    <xf numFmtId="169" fontId="63" fillId="41" borderId="10" xfId="0" applyNumberFormat="1" applyFont="1" applyFill="1" applyBorder="1" applyAlignment="1" applyProtection="1">
      <alignment vertical="center"/>
      <protection/>
    </xf>
    <xf numFmtId="182" fontId="62" fillId="0" borderId="0" xfId="50" applyNumberFormat="1" applyFont="1" applyAlignment="1" applyProtection="1">
      <alignment/>
      <protection/>
    </xf>
    <xf numFmtId="169" fontId="62" fillId="0" borderId="0" xfId="0" applyNumberFormat="1" applyFont="1" applyAlignment="1" applyProtection="1">
      <alignment vertical="center"/>
      <protection/>
    </xf>
    <xf numFmtId="183" fontId="62" fillId="0" borderId="0" xfId="0" applyNumberFormat="1" applyFont="1" applyAlignment="1" applyProtection="1">
      <alignment vertical="center"/>
      <protection/>
    </xf>
    <xf numFmtId="1" fontId="62" fillId="0" borderId="0" xfId="0" applyNumberFormat="1" applyFont="1" applyAlignment="1" applyProtection="1">
      <alignment vertical="center"/>
      <protection/>
    </xf>
    <xf numFmtId="184" fontId="62" fillId="0" borderId="0" xfId="0" applyNumberFormat="1" applyFont="1" applyFill="1" applyAlignment="1" applyProtection="1">
      <alignment vertical="center"/>
      <protection/>
    </xf>
    <xf numFmtId="185" fontId="62" fillId="0" borderId="0" xfId="0" applyNumberFormat="1" applyFont="1" applyFill="1" applyAlignment="1" applyProtection="1">
      <alignment vertical="center"/>
      <protection/>
    </xf>
    <xf numFmtId="2" fontId="62" fillId="0" borderId="0" xfId="0" applyNumberFormat="1" applyFont="1" applyAlignment="1" applyProtection="1">
      <alignment vertical="center"/>
      <protection/>
    </xf>
    <xf numFmtId="186" fontId="62" fillId="0" borderId="0" xfId="0" applyNumberFormat="1" applyFont="1" applyAlignment="1" applyProtection="1">
      <alignment vertical="center"/>
      <protection/>
    </xf>
    <xf numFmtId="171" fontId="62" fillId="0" borderId="0" xfId="50" applyFont="1" applyAlignment="1" applyProtection="1">
      <alignment vertical="center"/>
      <protection/>
    </xf>
    <xf numFmtId="0" fontId="62" fillId="0" borderId="0" xfId="0" applyFont="1" applyAlignment="1" applyProtection="1">
      <alignment horizontal="left" vertical="center"/>
      <protection/>
    </xf>
    <xf numFmtId="187" fontId="62" fillId="0" borderId="0" xfId="0" applyNumberFormat="1" applyFont="1" applyAlignment="1" applyProtection="1">
      <alignment vertical="center"/>
      <protection/>
    </xf>
    <xf numFmtId="188" fontId="62" fillId="0" borderId="0" xfId="0" applyNumberFormat="1" applyFont="1" applyAlignment="1" applyProtection="1">
      <alignment vertical="center"/>
      <protection/>
    </xf>
    <xf numFmtId="174" fontId="62" fillId="42" borderId="17" xfId="50" applyNumberFormat="1" applyFont="1" applyFill="1" applyBorder="1" applyAlignment="1" applyProtection="1">
      <alignment vertical="center"/>
      <protection/>
    </xf>
    <xf numFmtId="9" fontId="62" fillId="0" borderId="0" xfId="62" applyFont="1" applyAlignment="1" applyProtection="1">
      <alignment vertical="center"/>
      <protection/>
    </xf>
    <xf numFmtId="174" fontId="62" fillId="0" borderId="0" xfId="50" applyNumberFormat="1" applyFont="1" applyAlignment="1" applyProtection="1">
      <alignment vertical="center"/>
      <protection/>
    </xf>
    <xf numFmtId="174" fontId="62" fillId="42" borderId="17" xfId="0" applyNumberFormat="1" applyFont="1" applyFill="1" applyBorder="1" applyAlignment="1" applyProtection="1">
      <alignment vertical="center"/>
      <protection/>
    </xf>
    <xf numFmtId="0" fontId="57" fillId="0" borderId="40" xfId="0" applyFont="1" applyBorder="1" applyAlignment="1">
      <alignment wrapText="1"/>
    </xf>
    <xf numFmtId="0" fontId="57" fillId="0" borderId="0" xfId="0" applyFont="1" applyBorder="1" applyAlignment="1">
      <alignment wrapText="1"/>
    </xf>
    <xf numFmtId="0" fontId="57" fillId="0" borderId="49" xfId="0" applyFont="1" applyBorder="1" applyAlignment="1">
      <alignment wrapText="1"/>
    </xf>
    <xf numFmtId="0" fontId="7" fillId="0" borderId="0" xfId="0" applyFont="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4" xfId="0" applyFont="1" applyFill="1" applyBorder="1" applyAlignment="1" applyProtection="1">
      <alignment vertical="center" wrapText="1"/>
      <protection/>
    </xf>
    <xf numFmtId="3" fontId="3" fillId="33" borderId="25" xfId="0" applyNumberFormat="1" applyFont="1" applyFill="1" applyBorder="1" applyAlignment="1" applyProtection="1">
      <alignment horizontal="center" vertical="center" wrapText="1"/>
      <protection/>
    </xf>
    <xf numFmtId="3" fontId="3" fillId="33" borderId="24" xfId="0" applyNumberFormat="1" applyFont="1" applyFill="1" applyBorder="1" applyAlignment="1" applyProtection="1">
      <alignment horizontal="center" vertical="center" wrapText="1"/>
      <protection/>
    </xf>
    <xf numFmtId="3" fontId="3" fillId="33" borderId="18" xfId="0" applyNumberFormat="1"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57" xfId="0" applyFont="1" applyFill="1" applyBorder="1" applyAlignment="1" applyProtection="1">
      <alignment horizontal="center" vertical="center" wrapText="1"/>
      <protection/>
    </xf>
    <xf numFmtId="3" fontId="4" fillId="33" borderId="11" xfId="0" applyNumberFormat="1" applyFont="1" applyFill="1" applyBorder="1" applyAlignment="1" applyProtection="1">
      <alignment horizontal="center" vertical="center" wrapText="1"/>
      <protection/>
    </xf>
    <xf numFmtId="189" fontId="68" fillId="0" borderId="10" xfId="0" applyNumberFormat="1" applyFont="1" applyFill="1" applyBorder="1" applyAlignment="1" applyProtection="1">
      <alignment horizontal="center" vertical="center"/>
      <protection/>
    </xf>
    <xf numFmtId="0" fontId="68" fillId="0" borderId="10" xfId="0" applyFont="1" applyFill="1" applyBorder="1" applyAlignment="1" applyProtection="1">
      <alignment horizontal="center" vertical="center"/>
      <protection/>
    </xf>
    <xf numFmtId="0" fontId="62" fillId="0" borderId="10" xfId="0" applyFont="1" applyFill="1" applyBorder="1" applyAlignment="1" applyProtection="1">
      <alignment horizontal="justify" vertical="center" wrapText="1"/>
      <protection/>
    </xf>
    <xf numFmtId="0" fontId="68" fillId="0" borderId="10" xfId="0" applyFont="1" applyFill="1" applyBorder="1" applyAlignment="1" applyProtection="1">
      <alignment horizontal="center" vertical="center" wrapText="1"/>
      <protection/>
    </xf>
    <xf numFmtId="0" fontId="68" fillId="0" borderId="10" xfId="0" applyFont="1" applyFill="1" applyBorder="1" applyAlignment="1" applyProtection="1">
      <alignment horizontal="left" vertical="center" wrapText="1"/>
      <protection/>
    </xf>
    <xf numFmtId="173" fontId="66" fillId="0" borderId="10" xfId="0" applyNumberFormat="1" applyFont="1" applyFill="1" applyBorder="1" applyAlignment="1" applyProtection="1">
      <alignment horizontal="center" vertical="center" wrapText="1"/>
      <protection/>
    </xf>
    <xf numFmtId="10" fontId="66" fillId="0" borderId="10" xfId="60" applyNumberFormat="1" applyFont="1" applyFill="1" applyBorder="1" applyAlignment="1" applyProtection="1">
      <alignment horizontal="center" vertical="center" wrapText="1"/>
      <protection locked="0"/>
    </xf>
    <xf numFmtId="190" fontId="69" fillId="34" borderId="10" xfId="0" applyNumberFormat="1" applyFont="1" applyFill="1" applyBorder="1" applyAlignment="1" applyProtection="1">
      <alignment horizontal="center" vertical="center" wrapText="1"/>
      <protection/>
    </xf>
    <xf numFmtId="190" fontId="66" fillId="0" borderId="10" xfId="0" applyNumberFormat="1" applyFont="1" applyFill="1" applyBorder="1" applyAlignment="1" applyProtection="1">
      <alignment horizontal="center" vertical="center" wrapText="1"/>
      <protection locked="0"/>
    </xf>
    <xf numFmtId="3" fontId="68" fillId="0" borderId="10" xfId="0" applyNumberFormat="1" applyFont="1" applyFill="1" applyBorder="1" applyAlignment="1" applyProtection="1">
      <alignment horizontal="center" vertical="center"/>
      <protection locked="0"/>
    </xf>
    <xf numFmtId="0" fontId="66" fillId="0" borderId="10" xfId="0" applyFont="1" applyFill="1" applyBorder="1" applyAlignment="1" applyProtection="1">
      <alignment horizontal="justify" vertical="top" wrapText="1"/>
      <protection locked="0"/>
    </xf>
    <xf numFmtId="0" fontId="68" fillId="0" borderId="10" xfId="0" applyFont="1" applyFill="1" applyBorder="1" applyAlignment="1" applyProtection="1">
      <alignment vertical="center"/>
      <protection locked="0"/>
    </xf>
    <xf numFmtId="173" fontId="68" fillId="0" borderId="10" xfId="62" applyNumberFormat="1" applyFont="1" applyFill="1" applyBorder="1" applyAlignment="1" applyProtection="1">
      <alignment horizontal="center" vertical="center"/>
      <protection locked="0"/>
    </xf>
    <xf numFmtId="0" fontId="68" fillId="0" borderId="10" xfId="0" applyFont="1" applyFill="1" applyBorder="1" applyAlignment="1" applyProtection="1">
      <alignment horizontal="center" vertical="center"/>
      <protection locked="0"/>
    </xf>
    <xf numFmtId="3" fontId="0" fillId="0" borderId="0" xfId="0" applyNumberFormat="1" applyFill="1" applyAlignment="1" applyProtection="1">
      <alignment vertical="center"/>
      <protection/>
    </xf>
    <xf numFmtId="0" fontId="68" fillId="0" borderId="10" xfId="0" applyFont="1" applyFill="1" applyBorder="1" applyAlignment="1" applyProtection="1">
      <alignment horizontal="center" vertical="center" wrapText="1"/>
      <protection locked="0"/>
    </xf>
    <xf numFmtId="3" fontId="68" fillId="0" borderId="10" xfId="0" applyNumberFormat="1" applyFont="1" applyFill="1" applyBorder="1" applyAlignment="1" applyProtection="1">
      <alignment horizontal="justify" vertical="center" wrapText="1"/>
      <protection locked="0"/>
    </xf>
    <xf numFmtId="189" fontId="70" fillId="0" borderId="0" xfId="0" applyNumberFormat="1" applyFont="1" applyFill="1" applyBorder="1" applyAlignment="1" applyProtection="1">
      <alignment horizontal="center" vertical="center"/>
      <protection/>
    </xf>
    <xf numFmtId="0" fontId="3" fillId="43" borderId="10" xfId="0" applyFont="1" applyFill="1" applyBorder="1" applyAlignment="1" applyProtection="1">
      <alignment horizontal="center" vertical="center"/>
      <protection/>
    </xf>
    <xf numFmtId="0" fontId="3" fillId="43" borderId="10" xfId="0" applyFont="1" applyFill="1" applyBorder="1" applyAlignment="1" applyProtection="1">
      <alignment horizontal="left" vertical="center" wrapText="1"/>
      <protection/>
    </xf>
    <xf numFmtId="9" fontId="3" fillId="43" borderId="10" xfId="0" applyNumberFormat="1" applyFont="1" applyFill="1" applyBorder="1" applyAlignment="1" applyProtection="1">
      <alignment horizontal="center" vertical="center" wrapText="1"/>
      <protection/>
    </xf>
    <xf numFmtId="9" fontId="71" fillId="43" borderId="10" xfId="0" applyNumberFormat="1" applyFont="1" applyFill="1" applyBorder="1" applyAlignment="1" applyProtection="1">
      <alignment horizontal="center" vertical="center" wrapText="1"/>
      <protection/>
    </xf>
    <xf numFmtId="3" fontId="3" fillId="43" borderId="10" xfId="0" applyNumberFormat="1" applyFont="1" applyFill="1" applyBorder="1" applyAlignment="1" applyProtection="1">
      <alignment horizontal="center" vertical="center"/>
      <protection/>
    </xf>
    <xf numFmtId="3" fontId="3" fillId="43" borderId="12" xfId="0" applyNumberFormat="1" applyFont="1" applyFill="1" applyBorder="1" applyAlignment="1" applyProtection="1">
      <alignment horizontal="center" vertical="center"/>
      <protection/>
    </xf>
    <xf numFmtId="3" fontId="72" fillId="44" borderId="10" xfId="0" applyNumberFormat="1" applyFont="1" applyFill="1" applyBorder="1" applyAlignment="1" applyProtection="1">
      <alignment horizontal="center" vertical="center"/>
      <protection/>
    </xf>
    <xf numFmtId="0" fontId="25" fillId="0" borderId="0" xfId="0" applyFont="1" applyAlignment="1" applyProtection="1">
      <alignment vertical="center"/>
      <protection/>
    </xf>
    <xf numFmtId="174" fontId="1" fillId="0" borderId="0" xfId="50" applyNumberFormat="1" applyFont="1" applyAlignment="1" applyProtection="1">
      <alignment vertical="center"/>
      <protection/>
    </xf>
    <xf numFmtId="174" fontId="1" fillId="0" borderId="0" xfId="50" applyNumberFormat="1" applyFont="1" applyFill="1" applyAlignment="1" applyProtection="1">
      <alignment vertical="center"/>
      <protection/>
    </xf>
    <xf numFmtId="3" fontId="73" fillId="0" borderId="0" xfId="0" applyNumberFormat="1" applyFont="1" applyBorder="1" applyAlignment="1">
      <alignment horizontal="center" vertical="center" wrapText="1"/>
    </xf>
    <xf numFmtId="174" fontId="0" fillId="0" borderId="0" xfId="0" applyNumberFormat="1" applyAlignment="1" applyProtection="1">
      <alignment vertical="center"/>
      <protection/>
    </xf>
    <xf numFmtId="191" fontId="0" fillId="0" borderId="0" xfId="0" applyNumberFormat="1" applyAlignment="1" applyProtection="1">
      <alignment vertical="center"/>
      <protection/>
    </xf>
    <xf numFmtId="170" fontId="1" fillId="0" borderId="0" xfId="53" applyFont="1" applyBorder="1" applyAlignment="1" applyProtection="1">
      <alignment vertical="center"/>
      <protection/>
    </xf>
    <xf numFmtId="3" fontId="0" fillId="0" borderId="0" xfId="0" applyNumberFormat="1" applyAlignment="1" applyProtection="1">
      <alignment vertical="center"/>
      <protection/>
    </xf>
    <xf numFmtId="192" fontId="0" fillId="0" borderId="0" xfId="0" applyNumberFormat="1" applyAlignment="1" applyProtection="1">
      <alignment vertical="center"/>
      <protection/>
    </xf>
    <xf numFmtId="3" fontId="0" fillId="0" borderId="0" xfId="0" applyNumberFormat="1" applyBorder="1" applyAlignment="1" applyProtection="1">
      <alignment vertical="center"/>
      <protection/>
    </xf>
    <xf numFmtId="0" fontId="25" fillId="0" borderId="0" xfId="0" applyFont="1" applyFill="1" applyAlignment="1" applyProtection="1">
      <alignment vertical="center"/>
      <protection/>
    </xf>
    <xf numFmtId="0" fontId="57" fillId="0" borderId="10" xfId="0" applyFont="1" applyFill="1" applyBorder="1" applyAlignment="1" applyProtection="1">
      <alignment horizontal="center" vertical="center" wrapText="1"/>
      <protection/>
    </xf>
    <xf numFmtId="172" fontId="74" fillId="0" borderId="10" xfId="0" applyNumberFormat="1" applyFont="1" applyFill="1" applyBorder="1" applyAlignment="1" applyProtection="1">
      <alignment horizontal="center" vertical="center"/>
      <protection/>
    </xf>
    <xf numFmtId="0" fontId="66" fillId="0" borderId="12" xfId="0" applyFont="1" applyFill="1" applyBorder="1" applyAlignment="1" applyProtection="1">
      <alignment horizontal="center" vertical="center" wrapText="1"/>
      <protection/>
    </xf>
    <xf numFmtId="0" fontId="68" fillId="0" borderId="51" xfId="0" applyFont="1" applyFill="1" applyBorder="1" applyAlignment="1" applyProtection="1">
      <alignment horizontal="center" vertical="center" wrapText="1"/>
      <protection/>
    </xf>
    <xf numFmtId="0" fontId="68" fillId="0" borderId="12" xfId="0" applyFont="1" applyFill="1" applyBorder="1" applyAlignment="1" applyProtection="1">
      <alignment horizontal="center" vertical="center" wrapText="1"/>
      <protection/>
    </xf>
    <xf numFmtId="9" fontId="66" fillId="0" borderId="12" xfId="0" applyNumberFormat="1" applyFont="1" applyFill="1" applyBorder="1" applyAlignment="1" applyProtection="1">
      <alignment horizontal="center" vertical="center" wrapText="1"/>
      <protection/>
    </xf>
    <xf numFmtId="169" fontId="68" fillId="0" borderId="12" xfId="50" applyNumberFormat="1" applyFont="1" applyFill="1" applyBorder="1" applyAlignment="1" applyProtection="1">
      <alignment horizontal="center" vertical="center" wrapText="1"/>
      <protection/>
    </xf>
    <xf numFmtId="0" fontId="75" fillId="0" borderId="12" xfId="0" applyFont="1" applyFill="1" applyBorder="1" applyAlignment="1" applyProtection="1">
      <alignment horizontal="justify" vertical="top" wrapText="1"/>
      <protection locked="0"/>
    </xf>
    <xf numFmtId="0" fontId="76" fillId="0" borderId="12" xfId="0" applyFont="1" applyFill="1" applyBorder="1" applyAlignment="1" applyProtection="1">
      <alignment horizontal="justify" vertical="top" wrapText="1"/>
      <protection locked="0"/>
    </xf>
    <xf numFmtId="0" fontId="77" fillId="0" borderId="12" xfId="0" applyFont="1" applyFill="1" applyBorder="1" applyAlignment="1" applyProtection="1">
      <alignment horizontal="justify" vertical="top" wrapText="1"/>
      <protection locked="0"/>
    </xf>
    <xf numFmtId="0" fontId="78" fillId="0" borderId="12" xfId="0" applyFont="1" applyFill="1" applyBorder="1" applyAlignment="1" applyProtection="1">
      <alignment horizontal="justify" vertical="top" wrapText="1"/>
      <protection locked="0"/>
    </xf>
    <xf numFmtId="0" fontId="58" fillId="0" borderId="36" xfId="0" applyFont="1" applyFill="1" applyBorder="1" applyAlignment="1" applyProtection="1">
      <alignment vertical="center"/>
      <protection/>
    </xf>
    <xf numFmtId="3" fontId="24" fillId="0" borderId="37" xfId="0" applyNumberFormat="1" applyFont="1" applyFill="1" applyBorder="1" applyAlignment="1" applyProtection="1">
      <alignment horizontal="center" vertical="center"/>
      <protection locked="0"/>
    </xf>
    <xf numFmtId="3" fontId="24" fillId="0" borderId="37" xfId="0" applyNumberFormat="1" applyFont="1" applyFill="1" applyBorder="1" applyAlignment="1" applyProtection="1">
      <alignment horizontal="center" vertical="center"/>
      <protection/>
    </xf>
    <xf numFmtId="3" fontId="24" fillId="0" borderId="38" xfId="0" applyNumberFormat="1" applyFont="1" applyFill="1" applyBorder="1" applyAlignment="1" applyProtection="1">
      <alignment horizontal="center" vertical="center"/>
      <protection/>
    </xf>
    <xf numFmtId="0" fontId="13" fillId="0" borderId="0" xfId="0" applyFont="1" applyFill="1" applyAlignment="1" applyProtection="1">
      <alignment vertical="center"/>
      <protection/>
    </xf>
    <xf numFmtId="169" fontId="57" fillId="0" borderId="10" xfId="50" applyNumberFormat="1" applyFont="1" applyFill="1" applyBorder="1" applyAlignment="1" applyProtection="1">
      <alignment horizontal="center" vertical="center" wrapText="1"/>
      <protection/>
    </xf>
    <xf numFmtId="0" fontId="66" fillId="0" borderId="21" xfId="0" applyFont="1" applyFill="1" applyBorder="1" applyAlignment="1" applyProtection="1">
      <alignment horizontal="center" vertical="center" wrapText="1"/>
      <protection/>
    </xf>
    <xf numFmtId="0" fontId="68" fillId="0" borderId="21" xfId="0" applyFont="1" applyFill="1" applyBorder="1" applyAlignment="1" applyProtection="1">
      <alignment horizontal="center" vertical="center" wrapText="1"/>
      <protection/>
    </xf>
    <xf numFmtId="9" fontId="66" fillId="0" borderId="21" xfId="0" applyNumberFormat="1" applyFont="1" applyFill="1" applyBorder="1" applyAlignment="1" applyProtection="1">
      <alignment horizontal="center" vertical="center" wrapText="1"/>
      <protection/>
    </xf>
    <xf numFmtId="169" fontId="68" fillId="0" borderId="21" xfId="50" applyNumberFormat="1" applyFont="1" applyFill="1" applyBorder="1" applyAlignment="1" applyProtection="1">
      <alignment horizontal="center" vertical="center" wrapText="1"/>
      <protection/>
    </xf>
    <xf numFmtId="0" fontId="75" fillId="0" borderId="21" xfId="0" applyFont="1" applyFill="1" applyBorder="1" applyAlignment="1" applyProtection="1">
      <alignment horizontal="justify" vertical="top"/>
      <protection locked="0"/>
    </xf>
    <xf numFmtId="0" fontId="78" fillId="0" borderId="21" xfId="0" applyFont="1" applyFill="1" applyBorder="1" applyAlignment="1" applyProtection="1">
      <alignment horizontal="justify" vertical="top" wrapText="1"/>
      <protection locked="0"/>
    </xf>
    <xf numFmtId="0" fontId="58" fillId="0" borderId="16" xfId="0" applyFont="1" applyFill="1" applyBorder="1" applyAlignment="1" applyProtection="1">
      <alignment vertical="center"/>
      <protection/>
    </xf>
    <xf numFmtId="3" fontId="24" fillId="0" borderId="10" xfId="0" applyNumberFormat="1" applyFont="1" applyFill="1" applyBorder="1" applyAlignment="1" applyProtection="1">
      <alignment horizontal="center" vertical="center"/>
      <protection locked="0"/>
    </xf>
    <xf numFmtId="3" fontId="24" fillId="0" borderId="10" xfId="0" applyNumberFormat="1" applyFont="1" applyFill="1" applyBorder="1" applyAlignment="1" applyProtection="1">
      <alignment horizontal="center" vertical="center"/>
      <protection/>
    </xf>
    <xf numFmtId="3" fontId="24" fillId="0" borderId="42" xfId="0" applyNumberFormat="1" applyFont="1" applyFill="1" applyBorder="1" applyAlignment="1" applyProtection="1">
      <alignment horizontal="center" vertical="center"/>
      <protection/>
    </xf>
    <xf numFmtId="172" fontId="79" fillId="0" borderId="10" xfId="0" applyNumberFormat="1" applyFont="1" applyFill="1" applyBorder="1" applyAlignment="1" applyProtection="1">
      <alignment horizontal="center" vertical="center"/>
      <protection/>
    </xf>
    <xf numFmtId="0" fontId="7" fillId="0" borderId="16" xfId="0" applyFont="1" applyFill="1" applyBorder="1" applyAlignment="1" applyProtection="1">
      <alignment/>
      <protection/>
    </xf>
    <xf numFmtId="3" fontId="7" fillId="0" borderId="10" xfId="0" applyNumberFormat="1"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protection/>
    </xf>
    <xf numFmtId="3" fontId="7" fillId="0" borderId="42" xfId="0" applyNumberFormat="1" applyFont="1" applyFill="1" applyBorder="1" applyAlignment="1" applyProtection="1">
      <alignment horizontal="center" vertical="center"/>
      <protection/>
    </xf>
    <xf numFmtId="169" fontId="68" fillId="0" borderId="10" xfId="50" applyNumberFormat="1" applyFont="1" applyFill="1" applyBorder="1" applyAlignment="1" applyProtection="1">
      <alignment horizontal="center" vertical="center" wrapText="1"/>
      <protection/>
    </xf>
    <xf numFmtId="0" fontId="80" fillId="0" borderId="16" xfId="0" applyFont="1" applyFill="1" applyBorder="1" applyAlignment="1" applyProtection="1">
      <alignment/>
      <protection/>
    </xf>
    <xf numFmtId="3" fontId="80" fillId="0" borderId="10" xfId="0" applyNumberFormat="1" applyFont="1" applyFill="1" applyBorder="1" applyAlignment="1" applyProtection="1">
      <alignment horizontal="center" vertical="center"/>
      <protection/>
    </xf>
    <xf numFmtId="3" fontId="80" fillId="0" borderId="42" xfId="0" applyNumberFormat="1" applyFont="1" applyFill="1" applyBorder="1" applyAlignment="1" applyProtection="1">
      <alignment horizontal="center" vertical="center"/>
      <protection/>
    </xf>
    <xf numFmtId="0" fontId="81" fillId="0" borderId="16" xfId="0" applyFont="1" applyFill="1" applyBorder="1" applyAlignment="1" applyProtection="1">
      <alignment vertical="center"/>
      <protection/>
    </xf>
    <xf numFmtId="0" fontId="66" fillId="0" borderId="13" xfId="0" applyFont="1" applyFill="1" applyBorder="1" applyAlignment="1" applyProtection="1">
      <alignment horizontal="center" vertical="center" wrapText="1"/>
      <protection/>
    </xf>
    <xf numFmtId="0" fontId="68" fillId="0" borderId="13" xfId="0" applyFont="1" applyFill="1" applyBorder="1" applyAlignment="1" applyProtection="1">
      <alignment horizontal="center" vertical="center" wrapText="1"/>
      <protection/>
    </xf>
    <xf numFmtId="9" fontId="66" fillId="0" borderId="13" xfId="0" applyNumberFormat="1" applyFont="1" applyFill="1" applyBorder="1" applyAlignment="1" applyProtection="1">
      <alignment horizontal="center" vertical="center" wrapText="1"/>
      <protection/>
    </xf>
    <xf numFmtId="169" fontId="68" fillId="0" borderId="13" xfId="50" applyNumberFormat="1" applyFont="1" applyFill="1" applyBorder="1" applyAlignment="1" applyProtection="1">
      <alignment horizontal="center" vertical="center" wrapText="1"/>
      <protection/>
    </xf>
    <xf numFmtId="0" fontId="75" fillId="0" borderId="13" xfId="0" applyFont="1" applyFill="1" applyBorder="1" applyAlignment="1" applyProtection="1">
      <alignment horizontal="justify" vertical="top"/>
      <protection locked="0"/>
    </xf>
    <xf numFmtId="0" fontId="78" fillId="0" borderId="13" xfId="0" applyFont="1" applyFill="1" applyBorder="1" applyAlignment="1" applyProtection="1">
      <alignment horizontal="justify" vertical="top" wrapText="1"/>
      <protection locked="0"/>
    </xf>
    <xf numFmtId="0" fontId="7" fillId="0" borderId="45" xfId="0" applyFont="1" applyFill="1" applyBorder="1" applyAlignment="1" applyProtection="1">
      <alignment/>
      <protection/>
    </xf>
    <xf numFmtId="3" fontId="7" fillId="0" borderId="46" xfId="0" applyNumberFormat="1" applyFont="1" applyFill="1" applyBorder="1" applyAlignment="1" applyProtection="1">
      <alignment horizontal="center" vertical="center"/>
      <protection locked="0"/>
    </xf>
    <xf numFmtId="3" fontId="7" fillId="0" borderId="46" xfId="0" applyNumberFormat="1" applyFont="1" applyFill="1" applyBorder="1" applyAlignment="1" applyProtection="1">
      <alignment horizontal="center" vertical="center"/>
      <protection/>
    </xf>
    <xf numFmtId="3" fontId="7" fillId="0" borderId="47" xfId="0" applyNumberFormat="1" applyFont="1" applyFill="1" applyBorder="1" applyAlignment="1" applyProtection="1">
      <alignment horizontal="center" vertical="center"/>
      <protection/>
    </xf>
    <xf numFmtId="0" fontId="6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locked="0"/>
    </xf>
    <xf numFmtId="0" fontId="82" fillId="0" borderId="12" xfId="0" applyFont="1" applyFill="1" applyBorder="1" applyAlignment="1" applyProtection="1">
      <alignment horizontal="justify" vertical="top" wrapText="1"/>
      <protection locked="0"/>
    </xf>
    <xf numFmtId="0" fontId="85" fillId="0" borderId="12" xfId="0" applyFont="1" applyFill="1" applyBorder="1" applyAlignment="1" applyProtection="1">
      <alignment horizontal="justify" vertical="top" wrapText="1"/>
      <protection locked="0"/>
    </xf>
    <xf numFmtId="0" fontId="81" fillId="0" borderId="36" xfId="0" applyFont="1" applyFill="1" applyBorder="1" applyAlignment="1" applyProtection="1">
      <alignment vertical="center"/>
      <protection/>
    </xf>
    <xf numFmtId="3" fontId="7" fillId="0" borderId="37" xfId="0" applyNumberFormat="1" applyFont="1" applyFill="1" applyBorder="1" applyAlignment="1" applyProtection="1">
      <alignment horizontal="center" vertical="center"/>
      <protection locked="0"/>
    </xf>
    <xf numFmtId="3" fontId="7" fillId="0" borderId="37" xfId="0" applyNumberFormat="1" applyFont="1" applyFill="1" applyBorder="1" applyAlignment="1" applyProtection="1">
      <alignment horizontal="center" vertical="center"/>
      <protection/>
    </xf>
    <xf numFmtId="3" fontId="7" fillId="0" borderId="38" xfId="0" applyNumberFormat="1" applyFont="1" applyFill="1" applyBorder="1" applyAlignment="1" applyProtection="1">
      <alignment horizontal="center" vertical="center"/>
      <protection/>
    </xf>
    <xf numFmtId="0" fontId="66" fillId="0" borderId="21" xfId="0" applyNumberFormat="1" applyFont="1" applyFill="1" applyBorder="1" applyAlignment="1" applyProtection="1">
      <alignment horizontal="center" vertical="center" wrapText="1"/>
      <protection/>
    </xf>
    <xf numFmtId="0" fontId="16" fillId="0" borderId="21" xfId="0" applyNumberFormat="1" applyFont="1" applyFill="1" applyBorder="1" applyAlignment="1" applyProtection="1">
      <alignment horizontal="center" vertical="center" wrapText="1"/>
      <protection locked="0"/>
    </xf>
    <xf numFmtId="0" fontId="82" fillId="0" borderId="21" xfId="0" applyFont="1" applyFill="1" applyBorder="1" applyAlignment="1" applyProtection="1">
      <alignment horizontal="justify" vertical="top"/>
      <protection locked="0"/>
    </xf>
    <xf numFmtId="0" fontId="66" fillId="0" borderId="13"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locked="0"/>
    </xf>
    <xf numFmtId="0" fontId="82" fillId="0" borderId="13" xfId="0" applyFont="1" applyFill="1" applyBorder="1" applyAlignment="1" applyProtection="1">
      <alignment horizontal="justify" vertical="top"/>
      <protection locked="0"/>
    </xf>
    <xf numFmtId="0" fontId="68" fillId="0" borderId="12" xfId="0" applyFont="1" applyFill="1" applyBorder="1" applyAlignment="1" applyProtection="1">
      <alignment horizontal="left" vertical="center" wrapText="1" indent="1"/>
      <protection/>
    </xf>
    <xf numFmtId="0" fontId="68" fillId="0" borderId="21" xfId="0" applyFont="1" applyFill="1" applyBorder="1" applyAlignment="1" applyProtection="1">
      <alignment horizontal="left" vertical="center" wrapText="1" indent="1"/>
      <protection/>
    </xf>
    <xf numFmtId="0" fontId="76" fillId="0" borderId="21" xfId="0" applyFont="1" applyFill="1" applyBorder="1" applyAlignment="1" applyProtection="1">
      <alignment horizontal="justify" vertical="top"/>
      <protection locked="0"/>
    </xf>
    <xf numFmtId="0" fontId="75" fillId="0" borderId="21" xfId="0" applyFont="1" applyFill="1" applyBorder="1" applyAlignment="1" applyProtection="1">
      <alignment horizontal="justify" vertical="top" wrapText="1"/>
      <protection locked="0"/>
    </xf>
    <xf numFmtId="0" fontId="68" fillId="0" borderId="13" xfId="0" applyFont="1" applyFill="1" applyBorder="1" applyAlignment="1" applyProtection="1">
      <alignment horizontal="left" vertical="center" wrapText="1" indent="1"/>
      <protection/>
    </xf>
    <xf numFmtId="0" fontId="76" fillId="0" borderId="13" xfId="0" applyFont="1" applyFill="1" applyBorder="1" applyAlignment="1" applyProtection="1">
      <alignment horizontal="justify" vertical="top"/>
      <protection locked="0"/>
    </xf>
    <xf numFmtId="0" fontId="75" fillId="0" borderId="13" xfId="0" applyFont="1" applyFill="1" applyBorder="1" applyAlignment="1" applyProtection="1">
      <alignment horizontal="justify" vertical="top" wrapText="1"/>
      <protection locked="0"/>
    </xf>
    <xf numFmtId="0" fontId="62" fillId="0" borderId="12" xfId="0" applyFont="1" applyFill="1" applyBorder="1" applyAlignment="1" applyProtection="1">
      <alignment vertical="center" wrapText="1"/>
      <protection/>
    </xf>
    <xf numFmtId="0" fontId="62"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vertical="center" wrapText="1"/>
      <protection locked="0"/>
    </xf>
    <xf numFmtId="0" fontId="87" fillId="0" borderId="12" xfId="0" applyFont="1" applyFill="1" applyBorder="1" applyAlignment="1" applyProtection="1">
      <alignment horizontal="justify" vertical="top" wrapText="1"/>
      <protection locked="0"/>
    </xf>
    <xf numFmtId="0" fontId="75" fillId="0" borderId="52" xfId="0" applyFont="1" applyFill="1" applyBorder="1" applyAlignment="1" applyProtection="1">
      <alignment horizontal="justify" vertical="top" wrapText="1"/>
      <protection locked="0"/>
    </xf>
    <xf numFmtId="0" fontId="62" fillId="0" borderId="21" xfId="0" applyFont="1" applyFill="1" applyBorder="1" applyAlignment="1" applyProtection="1">
      <alignment vertical="center" wrapText="1"/>
      <protection/>
    </xf>
    <xf numFmtId="0" fontId="62" fillId="0" borderId="10" xfId="0" applyFont="1" applyFill="1" applyBorder="1" applyAlignment="1" applyProtection="1">
      <alignment horizontal="center" vertical="center"/>
      <protection/>
    </xf>
    <xf numFmtId="0" fontId="87" fillId="0" borderId="21" xfId="0" applyFont="1" applyFill="1" applyBorder="1" applyAlignment="1" applyProtection="1">
      <alignment horizontal="justify" vertical="top"/>
      <protection locked="0"/>
    </xf>
    <xf numFmtId="0" fontId="87" fillId="0" borderId="21" xfId="0" applyFont="1" applyFill="1" applyBorder="1" applyAlignment="1" applyProtection="1">
      <alignment horizontal="justify" vertical="top" wrapText="1"/>
      <protection locked="0"/>
    </xf>
    <xf numFmtId="0" fontId="75" fillId="0" borderId="53" xfId="0" applyFont="1" applyFill="1" applyBorder="1" applyAlignment="1" applyProtection="1">
      <alignment horizontal="justify" vertical="top" wrapText="1"/>
      <protection locked="0"/>
    </xf>
    <xf numFmtId="0" fontId="62" fillId="0" borderId="21" xfId="0" applyFont="1" applyFill="1" applyBorder="1" applyAlignment="1" applyProtection="1">
      <alignment horizontal="left" vertical="center" wrapText="1"/>
      <protection/>
    </xf>
    <xf numFmtId="0" fontId="62" fillId="0" borderId="12" xfId="0" applyFont="1" applyFill="1" applyBorder="1" applyAlignment="1" applyProtection="1">
      <alignment horizontal="center" vertical="center"/>
      <protection/>
    </xf>
    <xf numFmtId="0" fontId="16" fillId="0" borderId="12" xfId="0" applyFont="1" applyFill="1" applyBorder="1" applyAlignment="1" applyProtection="1">
      <alignment vertical="center"/>
      <protection/>
    </xf>
    <xf numFmtId="0" fontId="62" fillId="0" borderId="21" xfId="0" applyFont="1" applyFill="1" applyBorder="1" applyAlignment="1" applyProtection="1">
      <alignment horizontal="center" vertical="center"/>
      <protection/>
    </xf>
    <xf numFmtId="0" fontId="16" fillId="0" borderId="21" xfId="0" applyFont="1" applyFill="1" applyBorder="1" applyAlignment="1" applyProtection="1">
      <alignment vertical="center"/>
      <protection/>
    </xf>
    <xf numFmtId="0" fontId="62" fillId="0" borderId="13" xfId="0" applyFont="1" applyFill="1" applyBorder="1" applyAlignment="1" applyProtection="1">
      <alignment horizontal="left" vertical="center" wrapText="1"/>
      <protection/>
    </xf>
    <xf numFmtId="0" fontId="62" fillId="0" borderId="13" xfId="0" applyFont="1" applyFill="1" applyBorder="1" applyAlignment="1" applyProtection="1">
      <alignment horizontal="center" vertical="center"/>
      <protection/>
    </xf>
    <xf numFmtId="0" fontId="16" fillId="0" borderId="13" xfId="0" applyFont="1" applyFill="1" applyBorder="1" applyAlignment="1" applyProtection="1">
      <alignment vertical="center"/>
      <protection/>
    </xf>
    <xf numFmtId="0" fontId="87" fillId="0" borderId="13" xfId="0" applyFont="1" applyFill="1" applyBorder="1" applyAlignment="1" applyProtection="1">
      <alignment horizontal="justify" vertical="top"/>
      <protection locked="0"/>
    </xf>
    <xf numFmtId="0" fontId="87" fillId="0" borderId="13" xfId="0" applyFont="1" applyFill="1" applyBorder="1" applyAlignment="1" applyProtection="1">
      <alignment horizontal="justify" vertical="top" wrapText="1"/>
      <protection locked="0"/>
    </xf>
    <xf numFmtId="0" fontId="75" fillId="0" borderId="55" xfId="0" applyFont="1" applyFill="1" applyBorder="1" applyAlignment="1" applyProtection="1">
      <alignment horizontal="justify" vertical="top" wrapText="1"/>
      <protection locked="0"/>
    </xf>
    <xf numFmtId="173" fontId="66" fillId="0" borderId="12" xfId="0" applyNumberFormat="1" applyFont="1" applyFill="1" applyBorder="1" applyAlignment="1" applyProtection="1">
      <alignment horizontal="center" vertical="center" wrapText="1"/>
      <protection/>
    </xf>
    <xf numFmtId="173" fontId="66" fillId="0" borderId="12" xfId="0" applyNumberFormat="1" applyFont="1" applyFill="1" applyBorder="1" applyAlignment="1" applyProtection="1">
      <alignment horizontal="center" vertical="center" wrapText="1"/>
      <protection locked="0"/>
    </xf>
    <xf numFmtId="0" fontId="75" fillId="0" borderId="10" xfId="0" applyFont="1" applyFill="1" applyBorder="1" applyAlignment="1" applyProtection="1">
      <alignment horizontal="justify" vertical="top" wrapText="1"/>
      <protection locked="0"/>
    </xf>
    <xf numFmtId="173" fontId="66" fillId="0" borderId="21" xfId="0" applyNumberFormat="1" applyFont="1" applyFill="1" applyBorder="1" applyAlignment="1" applyProtection="1">
      <alignment horizontal="center" vertical="center" wrapText="1"/>
      <protection/>
    </xf>
    <xf numFmtId="173" fontId="66" fillId="0" borderId="21" xfId="0" applyNumberFormat="1" applyFont="1" applyFill="1" applyBorder="1" applyAlignment="1" applyProtection="1">
      <alignment horizontal="center" vertical="center" wrapText="1"/>
      <protection locked="0"/>
    </xf>
    <xf numFmtId="0" fontId="75" fillId="0" borderId="10" xfId="0" applyFont="1" applyFill="1" applyBorder="1" applyAlignment="1" applyProtection="1">
      <alignment horizontal="justify" vertical="top"/>
      <protection locked="0"/>
    </xf>
    <xf numFmtId="173" fontId="66" fillId="0" borderId="13" xfId="0" applyNumberFormat="1" applyFont="1" applyFill="1" applyBorder="1" applyAlignment="1" applyProtection="1">
      <alignment horizontal="center" vertical="center" wrapText="1"/>
      <protection/>
    </xf>
    <xf numFmtId="173" fontId="66" fillId="0" borderId="13" xfId="0" applyNumberFormat="1" applyFont="1" applyFill="1" applyBorder="1" applyAlignment="1" applyProtection="1">
      <alignment horizontal="center" vertical="center" wrapText="1"/>
      <protection locked="0"/>
    </xf>
    <xf numFmtId="0" fontId="82" fillId="0" borderId="21" xfId="0" applyFont="1" applyFill="1" applyBorder="1" applyAlignment="1" applyProtection="1">
      <alignment horizontal="justify" vertical="top" wrapText="1"/>
      <protection locked="0"/>
    </xf>
    <xf numFmtId="0" fontId="68" fillId="45" borderId="10" xfId="0" applyFont="1" applyFill="1" applyBorder="1" applyAlignment="1" applyProtection="1">
      <alignment horizontal="center" vertical="center" wrapText="1"/>
      <protection/>
    </xf>
    <xf numFmtId="172" fontId="79" fillId="45" borderId="10" xfId="0" applyNumberFormat="1" applyFont="1" applyFill="1" applyBorder="1" applyAlignment="1" applyProtection="1">
      <alignment horizontal="center" vertical="center"/>
      <protection/>
    </xf>
    <xf numFmtId="0" fontId="0" fillId="45" borderId="0" xfId="0" applyFill="1" applyAlignment="1" applyProtection="1">
      <alignment vertical="center"/>
      <protection/>
    </xf>
    <xf numFmtId="169" fontId="68" fillId="45" borderId="10" xfId="50" applyNumberFormat="1" applyFont="1" applyFill="1" applyBorder="1" applyAlignment="1" applyProtection="1">
      <alignment horizontal="center" vertical="center" wrapText="1"/>
      <protection/>
    </xf>
    <xf numFmtId="0" fontId="82" fillId="0" borderId="13" xfId="0" applyFont="1" applyFill="1" applyBorder="1" applyAlignment="1" applyProtection="1">
      <alignment horizontal="justify" vertical="top" wrapText="1"/>
      <protection locked="0"/>
    </xf>
    <xf numFmtId="0" fontId="11" fillId="33" borderId="0" xfId="0" applyFont="1" applyFill="1" applyAlignment="1" applyProtection="1">
      <alignment vertical="center"/>
      <protection/>
    </xf>
    <xf numFmtId="0" fontId="11" fillId="33" borderId="10" xfId="0" applyFont="1" applyFill="1" applyBorder="1" applyAlignment="1" applyProtection="1">
      <alignment vertical="center"/>
      <protection/>
    </xf>
    <xf numFmtId="9" fontId="11" fillId="33" borderId="10" xfId="0" applyNumberFormat="1" applyFont="1" applyFill="1" applyBorder="1" applyAlignment="1" applyProtection="1">
      <alignment vertical="center"/>
      <protection/>
    </xf>
    <xf numFmtId="193" fontId="3" fillId="33" borderId="10" xfId="0" applyNumberFormat="1" applyFont="1" applyFill="1" applyBorder="1" applyAlignment="1" applyProtection="1">
      <alignment vertical="center"/>
      <protection/>
    </xf>
    <xf numFmtId="169" fontId="3" fillId="33" borderId="10" xfId="0" applyNumberFormat="1" applyFont="1" applyFill="1" applyBorder="1" applyAlignment="1" applyProtection="1">
      <alignment vertical="center"/>
      <protection/>
    </xf>
    <xf numFmtId="182" fontId="1" fillId="0" borderId="0" xfId="50" applyNumberFormat="1" applyFont="1" applyAlignment="1" applyProtection="1">
      <alignment/>
      <protection/>
    </xf>
    <xf numFmtId="182" fontId="1" fillId="0" borderId="0" xfId="50" applyNumberFormat="1" applyFont="1" applyFill="1" applyAlignment="1" applyProtection="1">
      <alignment/>
      <protection/>
    </xf>
    <xf numFmtId="169" fontId="0" fillId="0" borderId="0" xfId="0" applyNumberFormat="1" applyAlignment="1" applyProtection="1">
      <alignment vertical="center"/>
      <protection/>
    </xf>
    <xf numFmtId="183" fontId="0" fillId="0" borderId="0" xfId="0" applyNumberFormat="1" applyAlignment="1" applyProtection="1">
      <alignment vertical="center"/>
      <protection/>
    </xf>
    <xf numFmtId="1" fontId="0" fillId="0" borderId="0" xfId="0" applyNumberFormat="1" applyAlignment="1" applyProtection="1">
      <alignment vertical="center"/>
      <protection/>
    </xf>
    <xf numFmtId="184" fontId="0" fillId="0" borderId="0" xfId="0" applyNumberFormat="1" applyFill="1" applyAlignment="1" applyProtection="1">
      <alignment vertical="center"/>
      <protection/>
    </xf>
    <xf numFmtId="185"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186" fontId="0" fillId="0" borderId="0" xfId="0" applyNumberFormat="1" applyAlignment="1" applyProtection="1">
      <alignment vertical="center"/>
      <protection/>
    </xf>
    <xf numFmtId="171" fontId="1" fillId="0" borderId="0" xfId="50" applyFont="1" applyAlignment="1" applyProtection="1">
      <alignment vertical="center"/>
      <protection/>
    </xf>
    <xf numFmtId="187" fontId="0" fillId="0" borderId="0" xfId="0" applyNumberFormat="1" applyAlignment="1" applyProtection="1">
      <alignment vertical="center"/>
      <protection/>
    </xf>
    <xf numFmtId="188" fontId="0" fillId="0" borderId="0" xfId="0" applyNumberFormat="1" applyAlignment="1" applyProtection="1">
      <alignment vertical="center"/>
      <protection/>
    </xf>
    <xf numFmtId="174" fontId="1" fillId="42" borderId="17" xfId="50" applyNumberFormat="1" applyFont="1" applyFill="1" applyBorder="1" applyAlignment="1" applyProtection="1">
      <alignment vertical="center"/>
      <protection/>
    </xf>
    <xf numFmtId="9" fontId="1" fillId="0" borderId="0" xfId="62" applyFont="1" applyAlignment="1" applyProtection="1">
      <alignment vertical="center"/>
      <protection/>
    </xf>
    <xf numFmtId="174" fontId="0" fillId="42" borderId="17" xfId="0" applyNumberFormat="1" applyFill="1" applyBorder="1" applyAlignment="1" applyProtection="1">
      <alignment vertical="center"/>
      <protection/>
    </xf>
    <xf numFmtId="0" fontId="120" fillId="0" borderId="39" xfId="0" applyFont="1" applyBorder="1" applyAlignment="1">
      <alignment horizontal="center" wrapText="1"/>
    </xf>
    <xf numFmtId="0" fontId="120" fillId="0" borderId="40" xfId="0" applyFont="1" applyBorder="1" applyAlignment="1">
      <alignment horizontal="center" wrapText="1"/>
    </xf>
    <xf numFmtId="0" fontId="120" fillId="0" borderId="41" xfId="0" applyFont="1" applyBorder="1" applyAlignment="1">
      <alignment horizontal="center" wrapText="1"/>
    </xf>
    <xf numFmtId="0" fontId="120" fillId="0" borderId="43" xfId="0" applyFont="1" applyBorder="1" applyAlignment="1">
      <alignment horizontal="center" wrapText="1"/>
    </xf>
    <xf numFmtId="0" fontId="120" fillId="0" borderId="0" xfId="0" applyFont="1" applyBorder="1" applyAlignment="1">
      <alignment horizontal="center" wrapText="1"/>
    </xf>
    <xf numFmtId="0" fontId="120" fillId="0" borderId="44" xfId="0" applyFont="1" applyBorder="1" applyAlignment="1">
      <alignment horizontal="center" wrapText="1"/>
    </xf>
    <xf numFmtId="0" fontId="120" fillId="0" borderId="48" xfId="0" applyFont="1" applyBorder="1" applyAlignment="1">
      <alignment horizontal="center" wrapText="1"/>
    </xf>
    <xf numFmtId="0" fontId="120" fillId="0" borderId="49" xfId="0" applyFont="1" applyBorder="1" applyAlignment="1">
      <alignment horizontal="center" wrapText="1"/>
    </xf>
    <xf numFmtId="0" fontId="120" fillId="0" borderId="50" xfId="0" applyFont="1" applyBorder="1" applyAlignment="1">
      <alignment horizontal="center" wrapText="1"/>
    </xf>
    <xf numFmtId="0" fontId="0" fillId="0" borderId="0" xfId="0" applyFont="1" applyAlignment="1" applyProtection="1">
      <alignment vertical="center"/>
      <protection/>
    </xf>
    <xf numFmtId="0" fontId="16" fillId="0" borderId="10" xfId="0" applyFont="1" applyFill="1" applyBorder="1" applyAlignment="1" applyProtection="1">
      <alignment horizontal="justify" vertical="center" wrapText="1"/>
      <protection/>
    </xf>
    <xf numFmtId="9" fontId="22" fillId="0" borderId="10" xfId="0" applyNumberFormat="1" applyFont="1" applyFill="1" applyBorder="1" applyAlignment="1" applyProtection="1">
      <alignment horizontal="center" vertical="center" wrapText="1"/>
      <protection/>
    </xf>
    <xf numFmtId="174" fontId="1" fillId="0" borderId="10" xfId="50" applyNumberFormat="1" applyFont="1" applyFill="1" applyBorder="1" applyAlignment="1" applyProtection="1">
      <alignment horizontal="right" vertical="center" wrapText="1"/>
      <protection/>
    </xf>
    <xf numFmtId="3" fontId="68" fillId="0" borderId="10" xfId="0" applyNumberFormat="1" applyFont="1" applyFill="1" applyBorder="1" applyAlignment="1" applyProtection="1">
      <alignment horizontal="right" vertical="center"/>
      <protection locked="0"/>
    </xf>
    <xf numFmtId="3" fontId="121" fillId="0" borderId="10" xfId="0" applyNumberFormat="1" applyFont="1" applyFill="1" applyBorder="1" applyAlignment="1" applyProtection="1">
      <alignment horizontal="right" vertical="center"/>
      <protection locked="0"/>
    </xf>
    <xf numFmtId="37" fontId="0" fillId="0" borderId="10" xfId="50" applyNumberFormat="1" applyFont="1" applyFill="1" applyBorder="1" applyAlignment="1" applyProtection="1">
      <alignment horizontal="right" vertical="center" wrapText="1"/>
      <protection/>
    </xf>
    <xf numFmtId="0" fontId="37" fillId="0" borderId="10" xfId="0" applyFont="1" applyFill="1" applyBorder="1" applyAlignment="1" applyProtection="1">
      <alignment horizontal="justify" vertical="top" wrapText="1"/>
      <protection locked="0"/>
    </xf>
    <xf numFmtId="174" fontId="36" fillId="0" borderId="10" xfId="50" applyNumberFormat="1" applyFont="1" applyFill="1" applyBorder="1" applyAlignment="1" applyProtection="1">
      <alignment horizontal="right" vertical="center" wrapText="1"/>
      <protection/>
    </xf>
    <xf numFmtId="0" fontId="89" fillId="0" borderId="0" xfId="0" applyFont="1" applyFill="1" applyAlignment="1">
      <alignment horizontal="justify"/>
    </xf>
    <xf numFmtId="189" fontId="70" fillId="41" borderId="10" xfId="0" applyNumberFormat="1" applyFont="1" applyFill="1" applyBorder="1" applyAlignment="1" applyProtection="1">
      <alignment horizontal="center" vertical="center"/>
      <protection/>
    </xf>
    <xf numFmtId="189" fontId="68" fillId="41" borderId="10" xfId="0" applyNumberFormat="1" applyFont="1" applyFill="1" applyBorder="1" applyAlignment="1" applyProtection="1">
      <alignment horizontal="center" vertical="center"/>
      <protection/>
    </xf>
    <xf numFmtId="0" fontId="68" fillId="41" borderId="10" xfId="0" applyFont="1" applyFill="1" applyBorder="1" applyAlignment="1" applyProtection="1">
      <alignment horizontal="center" vertical="center"/>
      <protection/>
    </xf>
    <xf numFmtId="0" fontId="68" fillId="41" borderId="10" xfId="0" applyFont="1" applyFill="1" applyBorder="1" applyAlignment="1" applyProtection="1">
      <alignment horizontal="left" vertical="center" wrapText="1"/>
      <protection/>
    </xf>
    <xf numFmtId="0" fontId="90" fillId="41" borderId="10" xfId="0" applyFont="1" applyFill="1" applyBorder="1" applyAlignment="1" applyProtection="1">
      <alignment horizontal="center" vertical="center"/>
      <protection/>
    </xf>
    <xf numFmtId="3" fontId="70" fillId="41" borderId="10" xfId="0" applyNumberFormat="1" applyFont="1" applyFill="1" applyBorder="1" applyAlignment="1" applyProtection="1">
      <alignment horizontal="right" vertical="center"/>
      <protection/>
    </xf>
    <xf numFmtId="3" fontId="122" fillId="41" borderId="10" xfId="0" applyNumberFormat="1" applyFont="1" applyFill="1" applyBorder="1" applyAlignment="1" applyProtection="1">
      <alignment horizontal="right" vertical="center"/>
      <protection/>
    </xf>
    <xf numFmtId="0" fontId="68" fillId="41" borderId="10" xfId="0" applyFont="1" applyFill="1" applyBorder="1" applyAlignment="1" applyProtection="1">
      <alignment horizontal="justify" vertical="top" wrapText="1"/>
      <protection/>
    </xf>
    <xf numFmtId="0" fontId="68" fillId="41" borderId="10" xfId="0" applyFont="1" applyFill="1" applyBorder="1" applyAlignment="1" applyProtection="1">
      <alignment vertical="center"/>
      <protection/>
    </xf>
    <xf numFmtId="3" fontId="70" fillId="41" borderId="10" xfId="0" applyNumberFormat="1" applyFont="1" applyFill="1" applyBorder="1" applyAlignment="1" applyProtection="1">
      <alignment horizontal="center" vertical="center"/>
      <protection/>
    </xf>
    <xf numFmtId="3" fontId="68" fillId="41" borderId="10" xfId="0" applyNumberFormat="1" applyFont="1" applyFill="1" applyBorder="1" applyAlignment="1" applyProtection="1">
      <alignment horizontal="center" vertical="center"/>
      <protection/>
    </xf>
    <xf numFmtId="173" fontId="68" fillId="41" borderId="10" xfId="62" applyNumberFormat="1" applyFont="1" applyFill="1" applyBorder="1" applyAlignment="1" applyProtection="1">
      <alignment horizontal="center" vertical="center"/>
      <protection/>
    </xf>
    <xf numFmtId="0" fontId="0" fillId="41" borderId="0" xfId="0" applyFill="1" applyAlignment="1" applyProtection="1">
      <alignment vertical="center"/>
      <protection/>
    </xf>
    <xf numFmtId="0" fontId="68" fillId="0" borderId="10" xfId="0" applyFont="1" applyFill="1" applyBorder="1" applyAlignment="1" applyProtection="1">
      <alignment horizontal="justify" vertical="center" wrapText="1"/>
      <protection/>
    </xf>
    <xf numFmtId="0" fontId="91" fillId="0" borderId="10" xfId="0" applyNumberFormat="1" applyFont="1" applyFill="1" applyBorder="1" applyAlignment="1" applyProtection="1">
      <alignment vertical="center" wrapText="1"/>
      <protection locked="0"/>
    </xf>
    <xf numFmtId="0" fontId="91" fillId="0" borderId="10" xfId="0" applyFont="1" applyFill="1" applyBorder="1" applyAlignment="1" applyProtection="1">
      <alignment horizontal="justify" vertical="center" wrapText="1"/>
      <protection locked="0"/>
    </xf>
    <xf numFmtId="0" fontId="91" fillId="0" borderId="10" xfId="0" applyFont="1" applyFill="1" applyBorder="1" applyAlignment="1" applyProtection="1">
      <alignment horizontal="justify" vertical="center"/>
      <protection locked="0"/>
    </xf>
    <xf numFmtId="0" fontId="91" fillId="0" borderId="0" xfId="0" applyFont="1" applyFill="1" applyAlignment="1" applyProtection="1">
      <alignment horizontal="justify" vertical="center" wrapText="1"/>
      <protection locked="0"/>
    </xf>
    <xf numFmtId="189" fontId="70" fillId="0" borderId="10" xfId="0" applyNumberFormat="1" applyFont="1" applyFill="1" applyBorder="1" applyAlignment="1" applyProtection="1">
      <alignment horizontal="center" vertical="center"/>
      <protection/>
    </xf>
    <xf numFmtId="174" fontId="7" fillId="0" borderId="10" xfId="50" applyNumberFormat="1" applyFont="1" applyFill="1" applyBorder="1" applyAlignment="1">
      <alignment horizontal="right" vertical="center" wrapText="1"/>
    </xf>
    <xf numFmtId="0" fontId="91" fillId="0" borderId="10" xfId="0" applyFont="1" applyFill="1" applyBorder="1" applyAlignment="1" applyProtection="1">
      <alignment vertical="center" wrapText="1"/>
      <protection locked="0"/>
    </xf>
    <xf numFmtId="0" fontId="66" fillId="0" borderId="10" xfId="0" applyFont="1" applyFill="1" applyBorder="1" applyAlignment="1" applyProtection="1">
      <alignment horizontal="center" vertical="center"/>
      <protection locked="0"/>
    </xf>
    <xf numFmtId="0" fontId="123" fillId="0" borderId="10" xfId="0" applyFont="1" applyFill="1" applyBorder="1" applyAlignment="1" applyProtection="1">
      <alignment horizontal="justify" vertical="center" wrapText="1"/>
      <protection locked="0"/>
    </xf>
    <xf numFmtId="0" fontId="89" fillId="0" borderId="0" xfId="0" applyFont="1" applyFill="1" applyAlignment="1">
      <alignment/>
    </xf>
    <xf numFmtId="0" fontId="124" fillId="0" borderId="10" xfId="0" applyNumberFormat="1" applyFont="1" applyFill="1" applyBorder="1" applyAlignment="1" applyProtection="1">
      <alignment horizontal="center" vertical="center" wrapText="1"/>
      <protection/>
    </xf>
    <xf numFmtId="3" fontId="122" fillId="0" borderId="10" xfId="0" applyNumberFormat="1" applyFont="1" applyFill="1" applyBorder="1" applyAlignment="1" applyProtection="1">
      <alignment horizontal="right" vertical="center"/>
      <protection locked="0"/>
    </xf>
    <xf numFmtId="0" fontId="62" fillId="41" borderId="10" xfId="0" applyFont="1" applyFill="1" applyBorder="1" applyAlignment="1" applyProtection="1">
      <alignment horizontal="justify" vertical="center" wrapText="1"/>
      <protection/>
    </xf>
    <xf numFmtId="9" fontId="66" fillId="41" borderId="10" xfId="60" applyNumberFormat="1" applyFont="1" applyFill="1" applyBorder="1" applyAlignment="1" applyProtection="1">
      <alignment horizontal="center" vertical="center" wrapText="1"/>
      <protection/>
    </xf>
    <xf numFmtId="9" fontId="90" fillId="41" borderId="10" xfId="60" applyNumberFormat="1" applyFont="1" applyFill="1" applyBorder="1" applyAlignment="1" applyProtection="1">
      <alignment horizontal="center" vertical="center" wrapText="1"/>
      <protection/>
    </xf>
    <xf numFmtId="0" fontId="71" fillId="41" borderId="10" xfId="0" applyFont="1" applyFill="1" applyBorder="1" applyAlignment="1" applyProtection="1">
      <alignment horizontal="justify" vertical="top" wrapText="1"/>
      <protection/>
    </xf>
    <xf numFmtId="1" fontId="22" fillId="0" borderId="10" xfId="56" applyNumberFormat="1" applyFont="1" applyFill="1" applyBorder="1" applyAlignment="1" applyProtection="1">
      <alignment horizontal="center" vertical="center" wrapText="1"/>
      <protection/>
    </xf>
    <xf numFmtId="0" fontId="37" fillId="0" borderId="12" xfId="0" applyFont="1" applyFill="1" applyBorder="1" applyAlignment="1" applyProtection="1">
      <alignment horizontal="center" vertical="center" wrapText="1"/>
      <protection locked="0"/>
    </xf>
    <xf numFmtId="0" fontId="22" fillId="0" borderId="12" xfId="0" applyNumberFormat="1" applyFont="1" applyFill="1" applyBorder="1" applyAlignment="1" applyProtection="1">
      <alignment horizontal="center" vertical="center" wrapText="1"/>
      <protection/>
    </xf>
    <xf numFmtId="0" fontId="37" fillId="0" borderId="21" xfId="0" applyFont="1" applyFill="1" applyBorder="1" applyAlignment="1" applyProtection="1">
      <alignment horizontal="center" vertical="center" wrapText="1"/>
      <protection locked="0"/>
    </xf>
    <xf numFmtId="0" fontId="37" fillId="0" borderId="13" xfId="0" applyFont="1" applyFill="1" applyBorder="1" applyAlignment="1" applyProtection="1">
      <alignment horizontal="center" vertical="center" wrapText="1"/>
      <protection locked="0"/>
    </xf>
    <xf numFmtId="0" fontId="66" fillId="41" borderId="10" xfId="0" applyFont="1" applyFill="1" applyBorder="1" applyAlignment="1" applyProtection="1">
      <alignment horizontal="justify" vertical="top" wrapText="1"/>
      <protection/>
    </xf>
    <xf numFmtId="0" fontId="70" fillId="0" borderId="10" xfId="0" applyFont="1" applyFill="1" applyBorder="1" applyAlignment="1" applyProtection="1">
      <alignment horizontal="center" vertical="center" wrapText="1"/>
      <protection/>
    </xf>
    <xf numFmtId="9" fontId="22" fillId="0" borderId="10" xfId="62" applyFont="1" applyFill="1" applyBorder="1" applyAlignment="1" applyProtection="1">
      <alignment horizontal="center" vertical="center" wrapText="1"/>
      <protection/>
    </xf>
    <xf numFmtId="0" fontId="37" fillId="0" borderId="10" xfId="0" applyFont="1" applyFill="1" applyBorder="1" applyAlignment="1" applyProtection="1">
      <alignment horizontal="justify" vertical="center" wrapText="1"/>
      <protection locked="0"/>
    </xf>
    <xf numFmtId="0" fontId="36" fillId="0" borderId="10" xfId="0" applyFont="1" applyFill="1" applyBorder="1" applyAlignment="1" applyProtection="1">
      <alignment horizontal="center" vertical="center" wrapText="1"/>
      <protection/>
    </xf>
    <xf numFmtId="174" fontId="105" fillId="0" borderId="10" xfId="50" applyNumberFormat="1" applyFont="1" applyFill="1" applyBorder="1" applyAlignment="1">
      <alignment horizontal="right" vertical="center" wrapText="1"/>
    </xf>
    <xf numFmtId="1" fontId="66" fillId="0" borderId="10" xfId="56" applyNumberFormat="1" applyFont="1" applyFill="1" applyBorder="1" applyAlignment="1" applyProtection="1">
      <alignment horizontal="center" vertical="center" wrapText="1"/>
      <protection/>
    </xf>
    <xf numFmtId="9" fontId="36" fillId="0" borderId="10" xfId="0" applyNumberFormat="1" applyFont="1" applyFill="1" applyBorder="1" applyAlignment="1" applyProtection="1">
      <alignment horizontal="center" vertical="center" wrapText="1"/>
      <protection/>
    </xf>
    <xf numFmtId="0" fontId="68" fillId="0" borderId="10" xfId="0" applyFont="1" applyFill="1" applyBorder="1" applyAlignment="1" applyProtection="1">
      <alignment vertical="center" wrapText="1"/>
      <protection locked="0"/>
    </xf>
    <xf numFmtId="173" fontId="66" fillId="41" borderId="10" xfId="60" applyNumberFormat="1" applyFont="1" applyFill="1" applyBorder="1" applyAlignment="1" applyProtection="1">
      <alignment horizontal="center" vertical="center" wrapText="1"/>
      <protection/>
    </xf>
    <xf numFmtId="9" fontId="95" fillId="43" borderId="10" xfId="0" applyNumberFormat="1" applyFont="1" applyFill="1" applyBorder="1" applyAlignment="1" applyProtection="1">
      <alignment horizontal="center" vertical="center" wrapText="1"/>
      <protection/>
    </xf>
    <xf numFmtId="174" fontId="0" fillId="0" borderId="0" xfId="50" applyNumberFormat="1" applyFont="1" applyAlignment="1" applyProtection="1">
      <alignment vertical="center"/>
      <protection/>
    </xf>
    <xf numFmtId="174" fontId="0" fillId="0" borderId="0" xfId="0" applyNumberFormat="1" applyFill="1" applyAlignment="1" applyProtection="1">
      <alignment vertical="center"/>
      <protection/>
    </xf>
    <xf numFmtId="174" fontId="0" fillId="0" borderId="0" xfId="0" applyNumberFormat="1" applyFont="1" applyAlignment="1" applyProtection="1">
      <alignment vertical="center"/>
      <protection/>
    </xf>
    <xf numFmtId="194" fontId="0" fillId="0" borderId="0" xfId="50" applyNumberFormat="1" applyFont="1" applyAlignment="1">
      <alignment/>
    </xf>
    <xf numFmtId="3" fontId="0" fillId="0" borderId="0" xfId="0" applyNumberFormat="1" applyFont="1" applyAlignment="1" applyProtection="1">
      <alignment vertical="center"/>
      <protection/>
    </xf>
    <xf numFmtId="9" fontId="4" fillId="33" borderId="11" xfId="0" applyNumberFormat="1" applyFont="1" applyFill="1" applyBorder="1" applyAlignment="1" applyProtection="1">
      <alignment horizontal="center" vertical="center" wrapText="1"/>
      <protection/>
    </xf>
    <xf numFmtId="0" fontId="68" fillId="40" borderId="10" xfId="0" applyFont="1" applyFill="1" applyBorder="1" applyAlignment="1" applyProtection="1">
      <alignment horizontal="center" vertical="center" wrapText="1"/>
      <protection/>
    </xf>
    <xf numFmtId="172" fontId="79" fillId="40" borderId="10" xfId="0" applyNumberFormat="1" applyFont="1" applyFill="1" applyBorder="1" applyAlignment="1" applyProtection="1">
      <alignment horizontal="center" vertical="center"/>
      <protection/>
    </xf>
    <xf numFmtId="0" fontId="62" fillId="0" borderId="12" xfId="0" applyFont="1" applyFill="1" applyBorder="1" applyAlignment="1" applyProtection="1">
      <alignment horizontal="justify" vertical="top" wrapText="1"/>
      <protection/>
    </xf>
    <xf numFmtId="9" fontId="68" fillId="0" borderId="12" xfId="0" applyNumberFormat="1" applyFont="1" applyFill="1" applyBorder="1" applyAlignment="1" applyProtection="1">
      <alignment horizontal="center" vertical="center" wrapText="1"/>
      <protection/>
    </xf>
    <xf numFmtId="10" fontId="68" fillId="0" borderId="12" xfId="0" applyNumberFormat="1" applyFont="1" applyFill="1" applyBorder="1" applyAlignment="1" applyProtection="1">
      <alignment horizontal="center" vertical="center" wrapText="1"/>
      <protection locked="0"/>
    </xf>
    <xf numFmtId="0" fontId="68" fillId="35" borderId="12" xfId="0" applyFont="1" applyFill="1" applyBorder="1" applyAlignment="1" applyProtection="1">
      <alignment horizontal="justify" vertical="top" wrapText="1"/>
      <protection locked="0"/>
    </xf>
    <xf numFmtId="0" fontId="68" fillId="0" borderId="12" xfId="0" applyFont="1" applyFill="1" applyBorder="1" applyAlignment="1" applyProtection="1">
      <alignment horizontal="justify" vertical="top" wrapText="1"/>
      <protection locked="0"/>
    </xf>
    <xf numFmtId="0" fontId="68" fillId="0" borderId="12" xfId="0" applyFont="1" applyFill="1" applyBorder="1" applyAlignment="1" applyProtection="1">
      <alignment horizontal="left" vertical="center" wrapText="1" indent="1"/>
      <protection locked="0"/>
    </xf>
    <xf numFmtId="169" fontId="0" fillId="0" borderId="0" xfId="0" applyNumberFormat="1" applyFill="1" applyAlignment="1" applyProtection="1">
      <alignment vertical="center"/>
      <protection/>
    </xf>
    <xf numFmtId="170" fontId="68" fillId="0" borderId="10" xfId="53" applyFont="1" applyFill="1" applyBorder="1" applyAlignment="1" applyProtection="1">
      <alignment horizontal="center" vertical="center" wrapText="1"/>
      <protection/>
    </xf>
    <xf numFmtId="0" fontId="0" fillId="40" borderId="0" xfId="0" applyFill="1" applyAlignment="1" applyProtection="1">
      <alignment vertical="center"/>
      <protection/>
    </xf>
    <xf numFmtId="0" fontId="62" fillId="0" borderId="21" xfId="0" applyFont="1" applyFill="1" applyBorder="1" applyAlignment="1" applyProtection="1">
      <alignment horizontal="justify" vertical="top" wrapText="1"/>
      <protection/>
    </xf>
    <xf numFmtId="9" fontId="68" fillId="0" borderId="21" xfId="0" applyNumberFormat="1" applyFont="1" applyFill="1" applyBorder="1" applyAlignment="1" applyProtection="1">
      <alignment horizontal="center" vertical="center" wrapText="1"/>
      <protection/>
    </xf>
    <xf numFmtId="10" fontId="68" fillId="0" borderId="21" xfId="0" applyNumberFormat="1" applyFont="1" applyFill="1" applyBorder="1" applyAlignment="1" applyProtection="1">
      <alignment horizontal="center" vertical="center" wrapText="1"/>
      <protection locked="0"/>
    </xf>
    <xf numFmtId="0" fontId="68" fillId="35" borderId="21" xfId="0" applyFont="1" applyFill="1" applyBorder="1" applyAlignment="1" applyProtection="1">
      <alignment horizontal="justify" vertical="top"/>
      <protection locked="0"/>
    </xf>
    <xf numFmtId="0" fontId="68" fillId="0" borderId="21" xfId="0" applyFont="1" applyFill="1" applyBorder="1" applyAlignment="1" applyProtection="1">
      <alignment horizontal="justify" vertical="top"/>
      <protection locked="0"/>
    </xf>
    <xf numFmtId="0" fontId="68" fillId="0" borderId="21" xfId="0" applyFont="1" applyFill="1" applyBorder="1" applyAlignment="1" applyProtection="1">
      <alignment horizontal="left" vertical="center" wrapText="1" indent="1"/>
      <protection locked="0"/>
    </xf>
    <xf numFmtId="0" fontId="62" fillId="0" borderId="13" xfId="0" applyFont="1" applyFill="1" applyBorder="1" applyAlignment="1" applyProtection="1">
      <alignment horizontal="justify" vertical="top" wrapText="1"/>
      <protection/>
    </xf>
    <xf numFmtId="9" fontId="68" fillId="0" borderId="13" xfId="0" applyNumberFormat="1" applyFont="1" applyFill="1" applyBorder="1" applyAlignment="1" applyProtection="1">
      <alignment horizontal="center" vertical="center" wrapText="1"/>
      <protection/>
    </xf>
    <xf numFmtId="10" fontId="68" fillId="0" borderId="13" xfId="0" applyNumberFormat="1" applyFont="1" applyFill="1" applyBorder="1" applyAlignment="1" applyProtection="1">
      <alignment horizontal="center" vertical="center" wrapText="1"/>
      <protection locked="0"/>
    </xf>
    <xf numFmtId="0" fontId="68" fillId="35" borderId="13" xfId="0" applyFont="1" applyFill="1" applyBorder="1" applyAlignment="1" applyProtection="1">
      <alignment horizontal="justify" vertical="top"/>
      <protection locked="0"/>
    </xf>
    <xf numFmtId="0" fontId="68" fillId="0" borderId="13" xfId="0" applyFont="1" applyFill="1" applyBorder="1" applyAlignment="1" applyProtection="1">
      <alignment horizontal="justify" vertical="top"/>
      <protection locked="0"/>
    </xf>
    <xf numFmtId="0" fontId="68" fillId="0" borderId="13" xfId="0" applyFont="1" applyFill="1" applyBorder="1" applyAlignment="1" applyProtection="1">
      <alignment horizontal="left" vertical="center" wrapText="1" indent="1"/>
      <protection locked="0"/>
    </xf>
    <xf numFmtId="0" fontId="68" fillId="0" borderId="10" xfId="0" applyFont="1" applyFill="1" applyBorder="1" applyAlignment="1" applyProtection="1">
      <alignment horizontal="left" vertical="center" wrapText="1"/>
      <protection locked="0"/>
    </xf>
    <xf numFmtId="9" fontId="89" fillId="0" borderId="10" xfId="0" applyNumberFormat="1" applyFont="1" applyBorder="1" applyAlignment="1" applyProtection="1">
      <alignment horizontal="center" vertical="center" wrapText="1"/>
      <protection/>
    </xf>
    <xf numFmtId="9" fontId="89" fillId="35" borderId="10" xfId="0" applyNumberFormat="1" applyFont="1" applyFill="1" applyBorder="1" applyAlignment="1" applyProtection="1">
      <alignment horizontal="center" vertical="center" wrapText="1"/>
      <protection locked="0"/>
    </xf>
    <xf numFmtId="3" fontId="24" fillId="0" borderId="10" xfId="0" applyNumberFormat="1" applyFont="1" applyFill="1" applyBorder="1" applyAlignment="1" applyProtection="1">
      <alignment vertical="center"/>
      <protection/>
    </xf>
    <xf numFmtId="195" fontId="89" fillId="0" borderId="10" xfId="0" applyNumberFormat="1" applyFont="1" applyBorder="1" applyAlignment="1" applyProtection="1">
      <alignment horizontal="center" vertical="center" wrapText="1"/>
      <protection locked="0"/>
    </xf>
    <xf numFmtId="3" fontId="68" fillId="0" borderId="10" xfId="0" applyNumberFormat="1" applyFont="1" applyFill="1" applyBorder="1" applyAlignment="1" applyProtection="1">
      <alignment horizontal="center" vertical="center"/>
      <protection/>
    </xf>
    <xf numFmtId="0" fontId="66" fillId="35" borderId="10" xfId="0" applyFont="1" applyFill="1" applyBorder="1" applyAlignment="1" applyProtection="1">
      <alignment horizontal="justify" vertical="top" wrapText="1"/>
      <protection locked="0"/>
    </xf>
    <xf numFmtId="0" fontId="68" fillId="41" borderId="10" xfId="0" applyFont="1" applyFill="1" applyBorder="1" applyAlignment="1" applyProtection="1">
      <alignment horizontal="center" vertical="center" wrapText="1"/>
      <protection/>
    </xf>
    <xf numFmtId="9" fontId="89" fillId="41" borderId="10" xfId="0" applyNumberFormat="1" applyFont="1" applyFill="1" applyBorder="1" applyAlignment="1" applyProtection="1">
      <alignment horizontal="center" vertical="center" wrapText="1"/>
      <protection/>
    </xf>
    <xf numFmtId="195" fontId="89" fillId="41" borderId="10" xfId="0" applyNumberFormat="1" applyFont="1" applyFill="1" applyBorder="1" applyAlignment="1" applyProtection="1">
      <alignment horizontal="center" vertical="center" wrapText="1"/>
      <protection/>
    </xf>
    <xf numFmtId="195" fontId="89" fillId="0" borderId="10" xfId="0" applyNumberFormat="1" applyFont="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Moneda 2" xfId="53"/>
    <cellStyle name="Neutral" xfId="54"/>
    <cellStyle name="Normal 2" xfId="55"/>
    <cellStyle name="Normal_Actividades" xfId="56"/>
    <cellStyle name="Notas" xfId="57"/>
    <cellStyle name="Porcentaje 2" xfId="58"/>
    <cellStyle name="Percent" xfId="59"/>
    <cellStyle name="Porcentual 2" xfId="60"/>
    <cellStyle name="Porcentual 3" xfId="61"/>
    <cellStyle name="Porcentual 4"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12">
    <dxf>
      <fill>
        <patternFill>
          <bgColor theme="1"/>
        </patternFill>
      </fill>
    </dxf>
    <dxf>
      <fill>
        <patternFill>
          <bgColor theme="1" tint="0.49998000264167786"/>
        </patternFill>
      </fill>
    </dxf>
    <dxf>
      <font>
        <color indexed="9"/>
      </font>
      <fill>
        <patternFill>
          <bgColor indexed="10"/>
        </patternFill>
      </fill>
    </dxf>
    <dxf>
      <font>
        <color theme="0"/>
      </font>
      <fill>
        <patternFill>
          <bgColor theme="5"/>
        </patternFill>
      </fill>
    </dxf>
    <dxf>
      <font>
        <color indexed="9"/>
      </font>
      <fill>
        <patternFill>
          <bgColor indexed="10"/>
        </patternFill>
      </fill>
    </dxf>
    <dxf>
      <font>
        <color theme="0"/>
      </font>
      <fill>
        <patternFill>
          <bgColor theme="5"/>
        </patternFill>
      </fill>
    </dxf>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20</xdr:col>
      <xdr:colOff>219075</xdr:colOff>
      <xdr:row>7</xdr:row>
      <xdr:rowOff>114300</xdr:rowOff>
    </xdr:to>
    <xdr:pic>
      <xdr:nvPicPr>
        <xdr:cNvPr id="1" name="3 Imagen" descr="SIG.jpg"/>
        <xdr:cNvPicPr preferRelativeResize="1">
          <a:picLocks noChangeAspect="1"/>
        </xdr:cNvPicPr>
      </xdr:nvPicPr>
      <xdr:blipFill>
        <a:blip r:embed="rId1"/>
        <a:stretch>
          <a:fillRect/>
        </a:stretch>
      </xdr:blipFill>
      <xdr:spPr>
        <a:xfrm>
          <a:off x="9420225" y="381000"/>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0</xdr:rowOff>
    </xdr:to>
    <xdr:pic>
      <xdr:nvPicPr>
        <xdr:cNvPr id="3" name="3 Imagen" descr="SIG.jpg"/>
        <xdr:cNvPicPr preferRelativeResize="1">
          <a:picLocks noChangeAspect="1"/>
        </xdr:cNvPicPr>
      </xdr:nvPicPr>
      <xdr:blipFill>
        <a:blip r:embed="rId1"/>
        <a:stretch>
          <a:fillRect/>
        </a:stretch>
      </xdr:blipFill>
      <xdr:spPr>
        <a:xfrm>
          <a:off x="38128575"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4" name="6 Imagen" descr="Escudo Bogotá_sds_color.jpg"/>
        <xdr:cNvPicPr preferRelativeResize="1">
          <a:picLocks noChangeAspect="1"/>
        </xdr:cNvPicPr>
      </xdr:nvPicPr>
      <xdr:blipFill>
        <a:blip r:embed="rId2"/>
        <a:stretch>
          <a:fillRect/>
        </a:stretch>
      </xdr:blipFill>
      <xdr:spPr>
        <a:xfrm>
          <a:off x="13173075" y="390525"/>
          <a:ext cx="1028700" cy="981075"/>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5" name="6 Imagen" descr="Escudo Bogotá_sds_color.jpg"/>
        <xdr:cNvPicPr preferRelativeResize="1">
          <a:picLocks noChangeAspect="1"/>
        </xdr:cNvPicPr>
      </xdr:nvPicPr>
      <xdr:blipFill>
        <a:blip r:embed="rId2"/>
        <a:stretch>
          <a:fillRect/>
        </a:stretch>
      </xdr:blipFill>
      <xdr:spPr>
        <a:xfrm>
          <a:off x="13173075" y="390525"/>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304800</xdr:colOff>
      <xdr:row>1</xdr:row>
      <xdr:rowOff>66675</xdr:rowOff>
    </xdr:from>
    <xdr:to>
      <xdr:col>13</xdr:col>
      <xdr:colOff>1304925</xdr:colOff>
      <xdr:row>6</xdr:row>
      <xdr:rowOff>76200</xdr:rowOff>
    </xdr:to>
    <xdr:pic>
      <xdr:nvPicPr>
        <xdr:cNvPr id="1" name="3 Imagen" descr="SIG.jpg"/>
        <xdr:cNvPicPr preferRelativeResize="1">
          <a:picLocks noChangeAspect="1"/>
        </xdr:cNvPicPr>
      </xdr:nvPicPr>
      <xdr:blipFill>
        <a:blip r:embed="rId1"/>
        <a:stretch>
          <a:fillRect/>
        </a:stretch>
      </xdr:blipFill>
      <xdr:spPr>
        <a:xfrm>
          <a:off x="11506200" y="219075"/>
          <a:ext cx="1000125" cy="771525"/>
        </a:xfrm>
        <a:prstGeom prst="rect">
          <a:avLst/>
        </a:prstGeom>
        <a:noFill/>
        <a:ln w="9525" cmpd="sng">
          <a:noFill/>
        </a:ln>
      </xdr:spPr>
    </xdr:pic>
    <xdr:clientData/>
  </xdr:twoCellAnchor>
  <xdr:twoCellAnchor editAs="oneCell">
    <xdr:from>
      <xdr:col>0</xdr:col>
      <xdr:colOff>466725</xdr:colOff>
      <xdr:row>1</xdr:row>
      <xdr:rowOff>38100</xdr:rowOff>
    </xdr:from>
    <xdr:to>
      <xdr:col>3</xdr:col>
      <xdr:colOff>171450</xdr:colOff>
      <xdr:row>7</xdr:row>
      <xdr:rowOff>57150</xdr:rowOff>
    </xdr:to>
    <xdr:pic>
      <xdr:nvPicPr>
        <xdr:cNvPr id="2" name="10 Imagen" descr="Escudo Bogotá_sds_color.jpg"/>
        <xdr:cNvPicPr preferRelativeResize="1">
          <a:picLocks noChangeAspect="1"/>
        </xdr:cNvPicPr>
      </xdr:nvPicPr>
      <xdr:blipFill>
        <a:blip r:embed="rId2"/>
        <a:stretch>
          <a:fillRect/>
        </a:stretch>
      </xdr:blipFill>
      <xdr:spPr>
        <a:xfrm>
          <a:off x="0" y="190500"/>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48</xdr:col>
      <xdr:colOff>762000</xdr:colOff>
      <xdr:row>7</xdr:row>
      <xdr:rowOff>114300</xdr:rowOff>
    </xdr:to>
    <xdr:pic>
      <xdr:nvPicPr>
        <xdr:cNvPr id="3" name="3 Imagen" descr="SIG.jpg"/>
        <xdr:cNvPicPr preferRelativeResize="1">
          <a:picLocks noChangeAspect="1"/>
        </xdr:cNvPicPr>
      </xdr:nvPicPr>
      <xdr:blipFill>
        <a:blip r:embed="rId1"/>
        <a:stretch>
          <a:fillRect/>
        </a:stretch>
      </xdr:blipFill>
      <xdr:spPr>
        <a:xfrm>
          <a:off x="50968275" y="161925"/>
          <a:ext cx="0" cy="1019175"/>
        </a:xfrm>
        <a:prstGeom prst="rect">
          <a:avLst/>
        </a:prstGeom>
        <a:noFill/>
        <a:ln w="9525" cmpd="sng">
          <a:noFill/>
        </a:ln>
      </xdr:spPr>
    </xdr:pic>
    <xdr:clientData/>
  </xdr:twoCellAnchor>
  <xdr:twoCellAnchor editAs="oneCell">
    <xdr:from>
      <xdr:col>15</xdr:col>
      <xdr:colOff>495300</xdr:colOff>
      <xdr:row>0</xdr:row>
      <xdr:rowOff>152400</xdr:rowOff>
    </xdr:from>
    <xdr:to>
      <xdr:col>16</xdr:col>
      <xdr:colOff>114300</xdr:colOff>
      <xdr:row>7</xdr:row>
      <xdr:rowOff>66675</xdr:rowOff>
    </xdr:to>
    <xdr:pic>
      <xdr:nvPicPr>
        <xdr:cNvPr id="4" name="12 Imagen" descr="Escudo Bogotá_sds_color.jpg"/>
        <xdr:cNvPicPr preferRelativeResize="1">
          <a:picLocks noChangeAspect="1"/>
        </xdr:cNvPicPr>
      </xdr:nvPicPr>
      <xdr:blipFill>
        <a:blip r:embed="rId2"/>
        <a:stretch>
          <a:fillRect/>
        </a:stretch>
      </xdr:blipFill>
      <xdr:spPr>
        <a:xfrm>
          <a:off x="14525625" y="152400"/>
          <a:ext cx="933450"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7</xdr:row>
      <xdr:rowOff>95250</xdr:rowOff>
    </xdr:to>
    <xdr:pic>
      <xdr:nvPicPr>
        <xdr:cNvPr id="5" name="3 Imagen" descr="SIG.jpg"/>
        <xdr:cNvPicPr preferRelativeResize="1">
          <a:picLocks noChangeAspect="1"/>
        </xdr:cNvPicPr>
      </xdr:nvPicPr>
      <xdr:blipFill>
        <a:blip r:embed="rId1"/>
        <a:stretch>
          <a:fillRect/>
        </a:stretch>
      </xdr:blipFill>
      <xdr:spPr>
        <a:xfrm>
          <a:off x="35947350" y="409575"/>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7</xdr:row>
      <xdr:rowOff>142875</xdr:rowOff>
    </xdr:to>
    <xdr:pic>
      <xdr:nvPicPr>
        <xdr:cNvPr id="6" name="15 Imagen" descr="Escudo Bogotá_sds_color.jpg"/>
        <xdr:cNvPicPr preferRelativeResize="1">
          <a:picLocks noChangeAspect="1"/>
        </xdr:cNvPicPr>
      </xdr:nvPicPr>
      <xdr:blipFill>
        <a:blip r:embed="rId2"/>
        <a:stretch>
          <a:fillRect/>
        </a:stretch>
      </xdr:blipFill>
      <xdr:spPr>
        <a:xfrm>
          <a:off x="38014275" y="228600"/>
          <a:ext cx="9429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22</xdr:col>
      <xdr:colOff>1038225</xdr:colOff>
      <xdr:row>7</xdr:row>
      <xdr:rowOff>161925</xdr:rowOff>
    </xdr:to>
    <xdr:pic>
      <xdr:nvPicPr>
        <xdr:cNvPr id="1" name="3 Imagen" descr="SIG.jpg"/>
        <xdr:cNvPicPr preferRelativeResize="1">
          <a:picLocks noChangeAspect="1"/>
        </xdr:cNvPicPr>
      </xdr:nvPicPr>
      <xdr:blipFill>
        <a:blip r:embed="rId1"/>
        <a:stretch>
          <a:fillRect/>
        </a:stretch>
      </xdr:blipFill>
      <xdr:spPr>
        <a:xfrm>
          <a:off x="6400800" y="371475"/>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104775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57150</xdr:rowOff>
    </xdr:to>
    <xdr:pic>
      <xdr:nvPicPr>
        <xdr:cNvPr id="3" name="3 Imagen" descr="SIG.jpg"/>
        <xdr:cNvPicPr preferRelativeResize="1">
          <a:picLocks noChangeAspect="1"/>
        </xdr:cNvPicPr>
      </xdr:nvPicPr>
      <xdr:blipFill>
        <a:blip r:embed="rId1"/>
        <a:stretch>
          <a:fillRect/>
        </a:stretch>
      </xdr:blipFill>
      <xdr:spPr>
        <a:xfrm>
          <a:off x="30394275"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95250</xdr:rowOff>
    </xdr:to>
    <xdr:pic>
      <xdr:nvPicPr>
        <xdr:cNvPr id="4" name="6 Imagen" descr="Escudo Bogotá_sds_color.jpg"/>
        <xdr:cNvPicPr preferRelativeResize="1">
          <a:picLocks noChangeAspect="1"/>
        </xdr:cNvPicPr>
      </xdr:nvPicPr>
      <xdr:blipFill>
        <a:blip r:embed="rId2"/>
        <a:stretch>
          <a:fillRect/>
        </a:stretch>
      </xdr:blipFill>
      <xdr:spPr>
        <a:xfrm>
          <a:off x="7448550" y="381000"/>
          <a:ext cx="1028700"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14</xdr:col>
      <xdr:colOff>238125</xdr:colOff>
      <xdr:row>6</xdr:row>
      <xdr:rowOff>57150</xdr:rowOff>
    </xdr:to>
    <xdr:pic>
      <xdr:nvPicPr>
        <xdr:cNvPr id="1" name="3 Imagen" descr="SIG.jpg"/>
        <xdr:cNvPicPr preferRelativeResize="1">
          <a:picLocks noChangeAspect="1"/>
        </xdr:cNvPicPr>
      </xdr:nvPicPr>
      <xdr:blipFill>
        <a:blip r:embed="rId1"/>
        <a:stretch>
          <a:fillRect/>
        </a:stretch>
      </xdr:blipFill>
      <xdr:spPr>
        <a:xfrm>
          <a:off x="9182100" y="876300"/>
          <a:ext cx="1000125" cy="781050"/>
        </a:xfrm>
        <a:prstGeom prst="rect">
          <a:avLst/>
        </a:prstGeom>
        <a:noFill/>
        <a:ln w="9525" cmpd="sng">
          <a:noFill/>
        </a:ln>
      </xdr:spPr>
    </xdr:pic>
    <xdr:clientData/>
  </xdr:twoCellAnchor>
  <xdr:twoCellAnchor editAs="oneCell">
    <xdr:from>
      <xdr:col>0</xdr:col>
      <xdr:colOff>428625</xdr:colOff>
      <xdr:row>1</xdr:row>
      <xdr:rowOff>38100</xdr:rowOff>
    </xdr:from>
    <xdr:to>
      <xdr:col>3</xdr:col>
      <xdr:colOff>371475</xdr:colOff>
      <xdr:row>4</xdr:row>
      <xdr:rowOff>190500</xdr:rowOff>
    </xdr:to>
    <xdr:pic>
      <xdr:nvPicPr>
        <xdr:cNvPr id="2" name="10 Imagen" descr="Escudo Bogotá_sds_color.jpg"/>
        <xdr:cNvPicPr preferRelativeResize="1">
          <a:picLocks noChangeAspect="1"/>
        </xdr:cNvPicPr>
      </xdr:nvPicPr>
      <xdr:blipFill>
        <a:blip r:embed="rId2"/>
        <a:stretch>
          <a:fillRect/>
        </a:stretch>
      </xdr:blipFill>
      <xdr:spPr>
        <a:xfrm>
          <a:off x="0" y="304800"/>
          <a:ext cx="809625" cy="952500"/>
        </a:xfrm>
        <a:prstGeom prst="rect">
          <a:avLst/>
        </a:prstGeom>
        <a:noFill/>
        <a:ln w="9525" cmpd="sng">
          <a:noFill/>
        </a:ln>
      </xdr:spPr>
    </xdr:pic>
    <xdr:clientData/>
  </xdr:twoCellAnchor>
  <xdr:twoCellAnchor editAs="oneCell">
    <xdr:from>
      <xdr:col>48</xdr:col>
      <xdr:colOff>762000</xdr:colOff>
      <xdr:row>1</xdr:row>
      <xdr:rowOff>9525</xdr:rowOff>
    </xdr:from>
    <xdr:to>
      <xdr:col>48</xdr:col>
      <xdr:colOff>0</xdr:colOff>
      <xdr:row>4</xdr:row>
      <xdr:rowOff>247650</xdr:rowOff>
    </xdr:to>
    <xdr:pic>
      <xdr:nvPicPr>
        <xdr:cNvPr id="3" name="3 Imagen" descr="SIG.jpg"/>
        <xdr:cNvPicPr preferRelativeResize="1">
          <a:picLocks noChangeAspect="1"/>
        </xdr:cNvPicPr>
      </xdr:nvPicPr>
      <xdr:blipFill>
        <a:blip r:embed="rId1"/>
        <a:stretch>
          <a:fillRect/>
        </a:stretch>
      </xdr:blipFill>
      <xdr:spPr>
        <a:xfrm>
          <a:off x="38233350" y="276225"/>
          <a:ext cx="0" cy="1038225"/>
        </a:xfrm>
        <a:prstGeom prst="rect">
          <a:avLst/>
        </a:prstGeom>
        <a:noFill/>
        <a:ln w="9525" cmpd="sng">
          <a:noFill/>
        </a:ln>
      </xdr:spPr>
    </xdr:pic>
    <xdr:clientData/>
  </xdr:twoCellAnchor>
  <xdr:twoCellAnchor editAs="oneCell">
    <xdr:from>
      <xdr:col>15</xdr:col>
      <xdr:colOff>495300</xdr:colOff>
      <xdr:row>1</xdr:row>
      <xdr:rowOff>180975</xdr:rowOff>
    </xdr:from>
    <xdr:to>
      <xdr:col>16</xdr:col>
      <xdr:colOff>314325</xdr:colOff>
      <xdr:row>5</xdr:row>
      <xdr:rowOff>114300</xdr:rowOff>
    </xdr:to>
    <xdr:pic>
      <xdr:nvPicPr>
        <xdr:cNvPr id="4" name="12 Imagen" descr="Escudo Bogotá_sds_color.jpg"/>
        <xdr:cNvPicPr preferRelativeResize="1">
          <a:picLocks noChangeAspect="1"/>
        </xdr:cNvPicPr>
      </xdr:nvPicPr>
      <xdr:blipFill>
        <a:blip r:embed="rId2"/>
        <a:stretch>
          <a:fillRect/>
        </a:stretch>
      </xdr:blipFill>
      <xdr:spPr>
        <a:xfrm>
          <a:off x="11706225" y="447675"/>
          <a:ext cx="923925" cy="100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7</xdr:row>
      <xdr:rowOff>114300</xdr:rowOff>
    </xdr:to>
    <xdr:pic>
      <xdr:nvPicPr>
        <xdr:cNvPr id="1" name="3 Imagen" descr="SIG.jpg"/>
        <xdr:cNvPicPr preferRelativeResize="1">
          <a:picLocks noChangeAspect="1"/>
        </xdr:cNvPicPr>
      </xdr:nvPicPr>
      <xdr:blipFill>
        <a:blip r:embed="rId1"/>
        <a:stretch>
          <a:fillRect/>
        </a:stretch>
      </xdr:blipFill>
      <xdr:spPr>
        <a:xfrm>
          <a:off x="12325350" y="381000"/>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0</xdr:rowOff>
    </xdr:to>
    <xdr:pic>
      <xdr:nvPicPr>
        <xdr:cNvPr id="3" name="3 Imagen" descr="SIG.jpg"/>
        <xdr:cNvPicPr preferRelativeResize="1">
          <a:picLocks noChangeAspect="1"/>
        </xdr:cNvPicPr>
      </xdr:nvPicPr>
      <xdr:blipFill>
        <a:blip r:embed="rId1"/>
        <a:stretch>
          <a:fillRect/>
        </a:stretch>
      </xdr:blipFill>
      <xdr:spPr>
        <a:xfrm>
          <a:off x="44491275"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4" name="6 Imagen" descr="Escudo Bogotá_sds_color.jpg"/>
        <xdr:cNvPicPr preferRelativeResize="1">
          <a:picLocks noChangeAspect="1"/>
        </xdr:cNvPicPr>
      </xdr:nvPicPr>
      <xdr:blipFill>
        <a:blip r:embed="rId2"/>
        <a:stretch>
          <a:fillRect/>
        </a:stretch>
      </xdr:blipFill>
      <xdr:spPr>
        <a:xfrm>
          <a:off x="16821150" y="390525"/>
          <a:ext cx="1028700" cy="981075"/>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5" name="6 Imagen" descr="Escudo Bogotá_sds_color.jpg"/>
        <xdr:cNvPicPr preferRelativeResize="1">
          <a:picLocks noChangeAspect="1"/>
        </xdr:cNvPicPr>
      </xdr:nvPicPr>
      <xdr:blipFill>
        <a:blip r:embed="rId2"/>
        <a:stretch>
          <a:fillRect/>
        </a:stretch>
      </xdr:blipFill>
      <xdr:spPr>
        <a:xfrm>
          <a:off x="16821150" y="390525"/>
          <a:ext cx="1028700" cy="981075"/>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6" name="6 Imagen" descr="Escudo Bogotá_sds_color.jpg"/>
        <xdr:cNvPicPr preferRelativeResize="1">
          <a:picLocks noChangeAspect="1"/>
        </xdr:cNvPicPr>
      </xdr:nvPicPr>
      <xdr:blipFill>
        <a:blip r:embed="rId2"/>
        <a:stretch>
          <a:fillRect/>
        </a:stretch>
      </xdr:blipFill>
      <xdr:spPr>
        <a:xfrm>
          <a:off x="16821150" y="390525"/>
          <a:ext cx="1028700" cy="981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13</xdr:col>
      <xdr:colOff>1276350</xdr:colOff>
      <xdr:row>7</xdr:row>
      <xdr:rowOff>85725</xdr:rowOff>
    </xdr:to>
    <xdr:pic>
      <xdr:nvPicPr>
        <xdr:cNvPr id="1" name="3 Imagen" descr="SIG.jpg"/>
        <xdr:cNvPicPr preferRelativeResize="1">
          <a:picLocks noChangeAspect="1"/>
        </xdr:cNvPicPr>
      </xdr:nvPicPr>
      <xdr:blipFill>
        <a:blip r:embed="rId1"/>
        <a:stretch>
          <a:fillRect/>
        </a:stretch>
      </xdr:blipFill>
      <xdr:spPr>
        <a:xfrm>
          <a:off x="11649075" y="638175"/>
          <a:ext cx="1000125" cy="771525"/>
        </a:xfrm>
        <a:prstGeom prst="rect">
          <a:avLst/>
        </a:prstGeom>
        <a:noFill/>
        <a:ln w="9525" cmpd="sng">
          <a:noFill/>
        </a:ln>
      </xdr:spPr>
    </xdr:pic>
    <xdr:clientData/>
  </xdr:twoCellAnchor>
  <xdr:twoCellAnchor editAs="oneCell">
    <xdr:from>
      <xdr:col>0</xdr:col>
      <xdr:colOff>247650</xdr:colOff>
      <xdr:row>1</xdr:row>
      <xdr:rowOff>38100</xdr:rowOff>
    </xdr:from>
    <xdr:to>
      <xdr:col>3</xdr:col>
      <xdr:colOff>133350</xdr:colOff>
      <xdr:row>6</xdr:row>
      <xdr:rowOff>19050</xdr:rowOff>
    </xdr:to>
    <xdr:pic>
      <xdr:nvPicPr>
        <xdr:cNvPr id="2" name="10 Imagen" descr="Escudo Bogotá_sds_color.jpg"/>
        <xdr:cNvPicPr preferRelativeResize="1">
          <a:picLocks noChangeAspect="1"/>
        </xdr:cNvPicPr>
      </xdr:nvPicPr>
      <xdr:blipFill>
        <a:blip r:embed="rId2"/>
        <a:stretch>
          <a:fillRect/>
        </a:stretch>
      </xdr:blipFill>
      <xdr:spPr>
        <a:xfrm>
          <a:off x="0" y="219075"/>
          <a:ext cx="809625" cy="933450"/>
        </a:xfrm>
        <a:prstGeom prst="rect">
          <a:avLst/>
        </a:prstGeom>
        <a:noFill/>
        <a:ln w="9525" cmpd="sng">
          <a:noFill/>
        </a:ln>
      </xdr:spPr>
    </xdr:pic>
    <xdr:clientData/>
  </xdr:twoCellAnchor>
  <xdr:twoCellAnchor editAs="oneCell">
    <xdr:from>
      <xdr:col>48</xdr:col>
      <xdr:colOff>762000</xdr:colOff>
      <xdr:row>1</xdr:row>
      <xdr:rowOff>9525</xdr:rowOff>
    </xdr:from>
    <xdr:to>
      <xdr:col>50</xdr:col>
      <xdr:colOff>190500</xdr:colOff>
      <xdr:row>6</xdr:row>
      <xdr:rowOff>76200</xdr:rowOff>
    </xdr:to>
    <xdr:pic>
      <xdr:nvPicPr>
        <xdr:cNvPr id="3" name="3 Imagen" descr="SIG.jpg"/>
        <xdr:cNvPicPr preferRelativeResize="1">
          <a:picLocks noChangeAspect="1"/>
        </xdr:cNvPicPr>
      </xdr:nvPicPr>
      <xdr:blipFill>
        <a:blip r:embed="rId1"/>
        <a:stretch>
          <a:fillRect/>
        </a:stretch>
      </xdr:blipFill>
      <xdr:spPr>
        <a:xfrm>
          <a:off x="52092225" y="190500"/>
          <a:ext cx="952500" cy="1019175"/>
        </a:xfrm>
        <a:prstGeom prst="rect">
          <a:avLst/>
        </a:prstGeom>
        <a:noFill/>
        <a:ln w="9525" cmpd="sng">
          <a:noFill/>
        </a:ln>
      </xdr:spPr>
    </xdr:pic>
    <xdr:clientData/>
  </xdr:twoCellAnchor>
  <xdr:twoCellAnchor editAs="oneCell">
    <xdr:from>
      <xdr:col>15</xdr:col>
      <xdr:colOff>495300</xdr:colOff>
      <xdr:row>1</xdr:row>
      <xdr:rowOff>180975</xdr:rowOff>
    </xdr:from>
    <xdr:to>
      <xdr:col>15</xdr:col>
      <xdr:colOff>1419225</xdr:colOff>
      <xdr:row>7</xdr:row>
      <xdr:rowOff>19050</xdr:rowOff>
    </xdr:to>
    <xdr:pic>
      <xdr:nvPicPr>
        <xdr:cNvPr id="4" name="12 Imagen" descr="Escudo Bogotá_sds_color.jpg"/>
        <xdr:cNvPicPr preferRelativeResize="1">
          <a:picLocks noChangeAspect="1"/>
        </xdr:cNvPicPr>
      </xdr:nvPicPr>
      <xdr:blipFill>
        <a:blip r:embed="rId2"/>
        <a:stretch>
          <a:fillRect/>
        </a:stretch>
      </xdr:blipFill>
      <xdr:spPr>
        <a:xfrm>
          <a:off x="14697075" y="361950"/>
          <a:ext cx="923925"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6</xdr:row>
      <xdr:rowOff>95250</xdr:rowOff>
    </xdr:to>
    <xdr:pic>
      <xdr:nvPicPr>
        <xdr:cNvPr id="5" name="3 Imagen" descr="SIG.jpg"/>
        <xdr:cNvPicPr preferRelativeResize="1">
          <a:picLocks noChangeAspect="1"/>
        </xdr:cNvPicPr>
      </xdr:nvPicPr>
      <xdr:blipFill>
        <a:blip r:embed="rId1"/>
        <a:stretch>
          <a:fillRect/>
        </a:stretch>
      </xdr:blipFill>
      <xdr:spPr>
        <a:xfrm>
          <a:off x="37099875" y="476250"/>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6</xdr:row>
      <xdr:rowOff>104775</xdr:rowOff>
    </xdr:to>
    <xdr:pic>
      <xdr:nvPicPr>
        <xdr:cNvPr id="6" name="15 Imagen" descr="Escudo Bogotá_sds_color.jpg"/>
        <xdr:cNvPicPr preferRelativeResize="1">
          <a:picLocks noChangeAspect="1"/>
        </xdr:cNvPicPr>
      </xdr:nvPicPr>
      <xdr:blipFill>
        <a:blip r:embed="rId2"/>
        <a:stretch>
          <a:fillRect/>
        </a:stretch>
      </xdr:blipFill>
      <xdr:spPr>
        <a:xfrm>
          <a:off x="39166800" y="257175"/>
          <a:ext cx="94297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72%20junio%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3\SEGUIMIENTO%20OCTUBRE%202013\Seguimiento%20872%20octubre%202013%20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ANDRA%20JANETH\SEGUIMIENTO%20PROYECTOS%202013\SEGUIMIENTO%20DICIEMBRE%20DE%202013\Seguimiento%20872%20diciembre%202013%20O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86%20junio%202015%20O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ABRIL%202015\Seguimiento%20886%20abril%202015%20O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79%20junio%202015%20O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SANDRA%20JANETH\SEGUIMIENTO%20PROYECTOS%202013\SEGUIMIENTO%20DICIEMBRE%20DE%202013\Seguimiento%20879%20Diciembre%202013%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30">
          <cell r="N30">
            <v>1000407000</v>
          </cell>
          <cell r="O30">
            <v>965391000</v>
          </cell>
          <cell r="P30">
            <v>710008000</v>
          </cell>
          <cell r="Q30">
            <v>93421234</v>
          </cell>
          <cell r="R30">
            <v>106777267</v>
          </cell>
          <cell r="S30">
            <v>84063667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99-METROPOLITANO"/>
      <sheetName val="Hoja1"/>
      <sheetName val="Hoja2"/>
    </sheetNames>
    <sheetDataSet>
      <sheetData sheetId="0">
        <row r="19">
          <cell r="S19">
            <v>1003271320</v>
          </cell>
          <cell r="T19">
            <v>259357234</v>
          </cell>
          <cell r="U19">
            <v>150149432</v>
          </cell>
          <cell r="V19">
            <v>150149432</v>
          </cell>
        </row>
        <row r="35">
          <cell r="S35">
            <v>1003271320</v>
          </cell>
          <cell r="T35">
            <v>259357234</v>
          </cell>
          <cell r="U35">
            <v>150149432</v>
          </cell>
          <cell r="V35">
            <v>150149432</v>
          </cell>
        </row>
        <row r="36">
          <cell r="S36">
            <v>1003271320</v>
          </cell>
          <cell r="T36">
            <v>259357234</v>
          </cell>
          <cell r="U36">
            <v>150149432</v>
          </cell>
          <cell r="V36">
            <v>150149432</v>
          </cell>
        </row>
        <row r="37">
          <cell r="S37">
            <v>0</v>
          </cell>
          <cell r="T37">
            <v>0</v>
          </cell>
          <cell r="U37">
            <v>0</v>
          </cell>
          <cell r="V37">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
      <sheetName val="Actividades"/>
      <sheetName val="99-METROPOLITANO"/>
      <sheetName val="Hoja1"/>
    </sheetNames>
    <sheetDataSet>
      <sheetData sheetId="1">
        <row r="15">
          <cell r="O15">
            <v>58031000</v>
          </cell>
          <cell r="P15">
            <v>43759400</v>
          </cell>
          <cell r="Q15">
            <v>15118667</v>
          </cell>
          <cell r="R15">
            <v>15118667</v>
          </cell>
        </row>
        <row r="16">
          <cell r="O16">
            <v>601007320</v>
          </cell>
          <cell r="P16">
            <v>230853854</v>
          </cell>
          <cell r="Q16">
            <v>79832099</v>
          </cell>
          <cell r="R16">
            <v>79832099</v>
          </cell>
        </row>
        <row r="17">
          <cell r="O17">
            <v>449912000</v>
          </cell>
          <cell r="P17">
            <v>185010200</v>
          </cell>
          <cell r="Q17">
            <v>55198666</v>
          </cell>
          <cell r="R17">
            <v>55198666</v>
          </cell>
        </row>
        <row r="18">
          <cell r="O18">
            <v>1108950320</v>
          </cell>
          <cell r="P18">
            <v>459623454</v>
          </cell>
          <cell r="Q18">
            <v>150149432</v>
          </cell>
          <cell r="R18">
            <v>150149432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14">
          <cell r="N14">
            <v>524017000</v>
          </cell>
          <cell r="O14">
            <v>534902500</v>
          </cell>
          <cell r="P14">
            <v>55848000</v>
          </cell>
          <cell r="Q14">
            <v>9928533</v>
          </cell>
          <cell r="R14">
            <v>27322533</v>
          </cell>
          <cell r="S14">
            <v>27322533</v>
          </cell>
        </row>
        <row r="30">
          <cell r="N30">
            <v>870480000</v>
          </cell>
          <cell r="O30">
            <v>826160000</v>
          </cell>
          <cell r="P30">
            <v>336609120</v>
          </cell>
          <cell r="Q30">
            <v>29204400</v>
          </cell>
          <cell r="R30">
            <v>161776134</v>
          </cell>
          <cell r="S30">
            <v>150908367</v>
          </cell>
        </row>
        <row r="46">
          <cell r="N46">
            <v>2548412860</v>
          </cell>
          <cell r="O46">
            <v>3035880800</v>
          </cell>
          <cell r="P46">
            <v>2423171720</v>
          </cell>
          <cell r="Q46">
            <v>355042905</v>
          </cell>
          <cell r="R46">
            <v>236973479</v>
          </cell>
          <cell r="S46">
            <v>195795419</v>
          </cell>
        </row>
        <row r="62">
          <cell r="N62">
            <v>3228600140</v>
          </cell>
          <cell r="O62">
            <v>2790160700</v>
          </cell>
          <cell r="P62">
            <v>2511891080</v>
          </cell>
          <cell r="Q62">
            <v>482674800</v>
          </cell>
          <cell r="R62">
            <v>720915224</v>
          </cell>
          <cell r="S62">
            <v>611808442</v>
          </cell>
        </row>
        <row r="78">
          <cell r="N78">
            <v>0</v>
          </cell>
          <cell r="O78">
            <v>0</v>
          </cell>
          <cell r="P78">
            <v>0</v>
          </cell>
          <cell r="Q78">
            <v>0</v>
          </cell>
          <cell r="R78">
            <v>3555200</v>
          </cell>
          <cell r="S78">
            <v>3555200</v>
          </cell>
        </row>
        <row r="94">
          <cell r="N94">
            <v>274847000</v>
          </cell>
          <cell r="O94">
            <v>245368000</v>
          </cell>
          <cell r="P94">
            <v>245368000</v>
          </cell>
          <cell r="Q94">
            <v>30553933</v>
          </cell>
          <cell r="R94">
            <v>34710467</v>
          </cell>
          <cell r="S94">
            <v>34710467</v>
          </cell>
        </row>
        <row r="110">
          <cell r="N110">
            <v>448463000</v>
          </cell>
          <cell r="O110">
            <v>462348000</v>
          </cell>
          <cell r="P110">
            <v>275170000</v>
          </cell>
          <cell r="Q110">
            <v>42120166</v>
          </cell>
          <cell r="R110">
            <v>62680400</v>
          </cell>
          <cell r="S110">
            <v>55305500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1">
        <row r="34">
          <cell r="O34">
            <v>280000320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30">
          <cell r="N30">
            <v>87550000</v>
          </cell>
          <cell r="O30">
            <v>87550000</v>
          </cell>
          <cell r="P30">
            <v>87336400</v>
          </cell>
          <cell r="Q30">
            <v>23580828</v>
          </cell>
          <cell r="R30">
            <v>29252300</v>
          </cell>
          <cell r="S30">
            <v>29252300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0">
        <row r="16">
          <cell r="S16">
            <v>0</v>
          </cell>
          <cell r="T16">
            <v>0</v>
          </cell>
          <cell r="U16">
            <v>0</v>
          </cell>
          <cell r="V16">
            <v>0</v>
          </cell>
        </row>
        <row r="32">
          <cell r="S32">
            <v>72328320</v>
          </cell>
          <cell r="T32">
            <v>56255360</v>
          </cell>
          <cell r="U32">
            <v>35663620</v>
          </cell>
          <cell r="V32">
            <v>33846480</v>
          </cell>
        </row>
        <row r="48">
          <cell r="S48">
            <v>0</v>
          </cell>
          <cell r="T48">
            <v>0</v>
          </cell>
          <cell r="U48">
            <v>0</v>
          </cell>
          <cell r="V48">
            <v>0</v>
          </cell>
        </row>
        <row r="64">
          <cell r="S64">
            <v>72328320</v>
          </cell>
          <cell r="T64">
            <v>56255360</v>
          </cell>
          <cell r="U64">
            <v>35663620</v>
          </cell>
          <cell r="V64">
            <v>33846480</v>
          </cell>
        </row>
        <row r="65">
          <cell r="S65">
            <v>72328320</v>
          </cell>
          <cell r="T65">
            <v>56255360</v>
          </cell>
          <cell r="U65">
            <v>35663620</v>
          </cell>
          <cell r="V65">
            <v>33846480</v>
          </cell>
        </row>
        <row r="66">
          <cell r="S66">
            <v>0</v>
          </cell>
          <cell r="T66">
            <v>0</v>
          </cell>
          <cell r="U66">
            <v>0</v>
          </cell>
          <cell r="V66">
            <v>0</v>
          </cell>
        </row>
      </sheetData>
      <sheetData sheetId="1">
        <row r="14">
          <cell r="O14">
            <v>0</v>
          </cell>
          <cell r="P14">
            <v>0</v>
          </cell>
          <cell r="Q14">
            <v>0</v>
          </cell>
          <cell r="R14">
            <v>0</v>
          </cell>
        </row>
        <row r="15">
          <cell r="O15">
            <v>72328320</v>
          </cell>
          <cell r="P15">
            <v>56255360</v>
          </cell>
          <cell r="Q15">
            <v>35663620</v>
          </cell>
          <cell r="R15">
            <v>33846480</v>
          </cell>
        </row>
        <row r="16">
          <cell r="O16">
            <v>72328320</v>
          </cell>
          <cell r="P16">
            <v>56255360</v>
          </cell>
          <cell r="Q16">
            <v>35663620</v>
          </cell>
          <cell r="R16">
            <v>33846480</v>
          </cell>
        </row>
        <row r="18">
          <cell r="O18">
            <v>0</v>
          </cell>
          <cell r="P18">
            <v>0</v>
          </cell>
          <cell r="Q18">
            <v>0</v>
          </cell>
          <cell r="R18">
            <v>0</v>
          </cell>
        </row>
        <row r="19">
          <cell r="O19">
            <v>72328320</v>
          </cell>
          <cell r="P19">
            <v>56255360</v>
          </cell>
          <cell r="Q19">
            <v>35663620</v>
          </cell>
          <cell r="R19">
            <v>33846480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rgb="FFFFC000"/>
  </sheetPr>
  <dimension ref="A1:CB316"/>
  <sheetViews>
    <sheetView showGridLines="0" zoomScalePageLayoutView="0" workbookViewId="0" topLeftCell="H10">
      <selection activeCell="G16" sqref="G16"/>
    </sheetView>
  </sheetViews>
  <sheetFormatPr defaultColWidth="11.421875" defaultRowHeight="15"/>
  <cols>
    <col min="1" max="1" width="5.140625" style="277" hidden="1" customWidth="1"/>
    <col min="2" max="2" width="5.421875" style="277" hidden="1" customWidth="1"/>
    <col min="3" max="3" width="4.421875" style="277" hidden="1" customWidth="1"/>
    <col min="4" max="4" width="7.421875" style="277" hidden="1" customWidth="1"/>
    <col min="5" max="5" width="6.8515625" style="277" hidden="1" customWidth="1"/>
    <col min="6" max="6" width="7.8515625" style="277" hidden="1" customWidth="1"/>
    <col min="7" max="7" width="8.7109375" style="277" hidden="1" customWidth="1"/>
    <col min="8" max="8" width="9.28125" style="278" customWidth="1"/>
    <col min="9" max="9" width="26.57421875" style="278" customWidth="1"/>
    <col min="10" max="10" width="6.28125" style="278" customWidth="1"/>
    <col min="11" max="12" width="5.57421875" style="278" customWidth="1"/>
    <col min="13" max="14" width="7.7109375" style="278" customWidth="1"/>
    <col min="15" max="15" width="11.7109375" style="278" customWidth="1"/>
    <col min="16" max="16" width="12.57421875" style="278" customWidth="1"/>
    <col min="17" max="17" width="16.28125" style="277" customWidth="1"/>
    <col min="18" max="18" width="15.57421875" style="277" bestFit="1" customWidth="1"/>
    <col min="19" max="19" width="14.7109375" style="277" customWidth="1"/>
    <col min="20" max="20" width="14.00390625" style="277" customWidth="1"/>
    <col min="21" max="22" width="14.140625" style="277" customWidth="1"/>
    <col min="23" max="23" width="47.00390625" style="277" customWidth="1"/>
    <col min="24" max="24" width="46.421875" style="277" customWidth="1"/>
    <col min="25" max="25" width="45.28125" style="277" customWidth="1"/>
    <col min="26" max="26" width="36.421875" style="277" customWidth="1"/>
    <col min="27" max="27" width="37.7109375" style="277" customWidth="1"/>
    <col min="28" max="28" width="35.28125" style="277" customWidth="1"/>
    <col min="29" max="44" width="10.7109375" style="277" customWidth="1"/>
    <col min="45" max="46" width="0" style="277" hidden="1" customWidth="1"/>
    <col min="47" max="47" width="15.140625" style="277" hidden="1" customWidth="1"/>
    <col min="48" max="48" width="4.57421875" style="277" hidden="1" customWidth="1"/>
    <col min="49" max="49" width="14.140625" style="277" hidden="1" customWidth="1"/>
    <col min="50" max="50" width="12.57421875" style="277" hidden="1" customWidth="1"/>
    <col min="51" max="51" width="13.28125" style="277" hidden="1" customWidth="1"/>
    <col min="52" max="52" width="12.57421875" style="277" hidden="1" customWidth="1"/>
    <col min="53" max="53" width="0" style="277" hidden="1" customWidth="1"/>
    <col min="54" max="54" width="17.00390625" style="277" hidden="1" customWidth="1"/>
    <col min="55" max="55" width="14.8515625" style="277" hidden="1" customWidth="1"/>
    <col min="56" max="56" width="14.421875" style="277" hidden="1" customWidth="1"/>
    <col min="57" max="57" width="18.00390625" style="277" hidden="1" customWidth="1"/>
    <col min="58" max="59" width="14.00390625" style="277" hidden="1" customWidth="1"/>
    <col min="60" max="62" width="0" style="277" hidden="1" customWidth="1"/>
    <col min="63" max="80" width="11.421875" style="278" customWidth="1"/>
    <col min="81" max="16384" width="11.421875" style="277" customWidth="1"/>
  </cols>
  <sheetData>
    <row r="1" spans="1:44" s="244" customFormat="1" ht="14.25" customHeight="1">
      <c r="A1" s="228"/>
      <c r="B1" s="229"/>
      <c r="C1" s="229"/>
      <c r="D1" s="230"/>
      <c r="E1" s="231" t="s">
        <v>189</v>
      </c>
      <c r="F1" s="232"/>
      <c r="G1" s="232"/>
      <c r="H1" s="232"/>
      <c r="I1" s="232"/>
      <c r="J1" s="232"/>
      <c r="K1" s="232"/>
      <c r="L1" s="232"/>
      <c r="M1" s="232"/>
      <c r="N1" s="233"/>
      <c r="O1" s="234" t="s">
        <v>190</v>
      </c>
      <c r="P1" s="235"/>
      <c r="Q1" s="235"/>
      <c r="R1" s="236"/>
      <c r="S1" s="237"/>
      <c r="T1" s="238"/>
      <c r="U1" s="238"/>
      <c r="V1" s="239"/>
      <c r="W1" s="237"/>
      <c r="X1" s="238"/>
      <c r="Y1" s="240"/>
      <c r="Z1" s="241" t="s">
        <v>191</v>
      </c>
      <c r="AA1" s="242"/>
      <c r="AB1" s="242"/>
      <c r="AC1" s="242"/>
      <c r="AD1" s="242"/>
      <c r="AE1" s="242"/>
      <c r="AF1" s="242"/>
      <c r="AG1" s="242"/>
      <c r="AH1" s="242"/>
      <c r="AI1" s="242"/>
      <c r="AJ1" s="243"/>
      <c r="AK1" s="234" t="s">
        <v>190</v>
      </c>
      <c r="AL1" s="235"/>
      <c r="AM1" s="235"/>
      <c r="AN1" s="236"/>
      <c r="AO1" s="237"/>
      <c r="AP1" s="238"/>
      <c r="AQ1" s="238"/>
      <c r="AR1" s="239"/>
    </row>
    <row r="2" spans="1:44" s="244" customFormat="1" ht="15" customHeight="1">
      <c r="A2" s="245"/>
      <c r="B2" s="246"/>
      <c r="C2" s="246"/>
      <c r="D2" s="247"/>
      <c r="E2" s="248"/>
      <c r="F2" s="249"/>
      <c r="G2" s="249"/>
      <c r="H2" s="249"/>
      <c r="I2" s="249"/>
      <c r="J2" s="249"/>
      <c r="K2" s="249"/>
      <c r="L2" s="249"/>
      <c r="M2" s="249"/>
      <c r="N2" s="250"/>
      <c r="O2" s="251"/>
      <c r="P2" s="252"/>
      <c r="Q2" s="252"/>
      <c r="R2" s="253"/>
      <c r="S2" s="254"/>
      <c r="T2" s="255"/>
      <c r="U2" s="255"/>
      <c r="V2" s="256"/>
      <c r="W2" s="254"/>
      <c r="X2" s="255"/>
      <c r="Y2" s="257"/>
      <c r="Z2" s="258"/>
      <c r="AA2" s="259"/>
      <c r="AB2" s="259"/>
      <c r="AC2" s="259"/>
      <c r="AD2" s="259"/>
      <c r="AE2" s="259"/>
      <c r="AF2" s="259"/>
      <c r="AG2" s="259"/>
      <c r="AH2" s="259"/>
      <c r="AI2" s="259"/>
      <c r="AJ2" s="260"/>
      <c r="AK2" s="251"/>
      <c r="AL2" s="252"/>
      <c r="AM2" s="252"/>
      <c r="AN2" s="253"/>
      <c r="AO2" s="254"/>
      <c r="AP2" s="255"/>
      <c r="AQ2" s="255"/>
      <c r="AR2" s="256"/>
    </row>
    <row r="3" spans="1:44" s="244" customFormat="1" ht="15" customHeight="1">
      <c r="A3" s="245"/>
      <c r="B3" s="246"/>
      <c r="C3" s="246"/>
      <c r="D3" s="247"/>
      <c r="E3" s="248"/>
      <c r="F3" s="249"/>
      <c r="G3" s="249"/>
      <c r="H3" s="249"/>
      <c r="I3" s="249"/>
      <c r="J3" s="249"/>
      <c r="K3" s="249"/>
      <c r="L3" s="249"/>
      <c r="M3" s="249"/>
      <c r="N3" s="250"/>
      <c r="O3" s="251"/>
      <c r="P3" s="252"/>
      <c r="Q3" s="252"/>
      <c r="R3" s="253"/>
      <c r="S3" s="254"/>
      <c r="T3" s="255"/>
      <c r="U3" s="255"/>
      <c r="V3" s="256"/>
      <c r="W3" s="254"/>
      <c r="X3" s="255"/>
      <c r="Y3" s="257"/>
      <c r="Z3" s="258"/>
      <c r="AA3" s="259"/>
      <c r="AB3" s="259"/>
      <c r="AC3" s="259"/>
      <c r="AD3" s="259"/>
      <c r="AE3" s="259"/>
      <c r="AF3" s="259"/>
      <c r="AG3" s="259"/>
      <c r="AH3" s="259"/>
      <c r="AI3" s="259"/>
      <c r="AJ3" s="260"/>
      <c r="AK3" s="251"/>
      <c r="AL3" s="252"/>
      <c r="AM3" s="252"/>
      <c r="AN3" s="253"/>
      <c r="AO3" s="254"/>
      <c r="AP3" s="255"/>
      <c r="AQ3" s="255"/>
      <c r="AR3" s="256"/>
    </row>
    <row r="4" spans="1:44" s="244" customFormat="1" ht="15" customHeight="1">
      <c r="A4" s="245"/>
      <c r="B4" s="246"/>
      <c r="C4" s="246"/>
      <c r="D4" s="247"/>
      <c r="E4" s="248"/>
      <c r="F4" s="249"/>
      <c r="G4" s="249"/>
      <c r="H4" s="249"/>
      <c r="I4" s="249"/>
      <c r="J4" s="249"/>
      <c r="K4" s="249"/>
      <c r="L4" s="249"/>
      <c r="M4" s="249"/>
      <c r="N4" s="250"/>
      <c r="O4" s="251"/>
      <c r="P4" s="252"/>
      <c r="Q4" s="252"/>
      <c r="R4" s="253"/>
      <c r="S4" s="254"/>
      <c r="T4" s="255"/>
      <c r="U4" s="255"/>
      <c r="V4" s="256"/>
      <c r="W4" s="254"/>
      <c r="X4" s="255"/>
      <c r="Y4" s="257"/>
      <c r="Z4" s="258"/>
      <c r="AA4" s="259"/>
      <c r="AB4" s="259"/>
      <c r="AC4" s="259"/>
      <c r="AD4" s="259"/>
      <c r="AE4" s="259"/>
      <c r="AF4" s="259"/>
      <c r="AG4" s="259"/>
      <c r="AH4" s="259"/>
      <c r="AI4" s="259"/>
      <c r="AJ4" s="260"/>
      <c r="AK4" s="251"/>
      <c r="AL4" s="252"/>
      <c r="AM4" s="252"/>
      <c r="AN4" s="253"/>
      <c r="AO4" s="254"/>
      <c r="AP4" s="255"/>
      <c r="AQ4" s="255"/>
      <c r="AR4" s="256"/>
    </row>
    <row r="5" spans="1:44" s="244" customFormat="1" ht="15" customHeight="1">
      <c r="A5" s="245"/>
      <c r="B5" s="246"/>
      <c r="C5" s="246"/>
      <c r="D5" s="247"/>
      <c r="E5" s="248"/>
      <c r="F5" s="249"/>
      <c r="G5" s="249"/>
      <c r="H5" s="249"/>
      <c r="I5" s="249"/>
      <c r="J5" s="249"/>
      <c r="K5" s="249"/>
      <c r="L5" s="249"/>
      <c r="M5" s="249"/>
      <c r="N5" s="250"/>
      <c r="O5" s="251"/>
      <c r="P5" s="252"/>
      <c r="Q5" s="252"/>
      <c r="R5" s="253"/>
      <c r="S5" s="254"/>
      <c r="T5" s="255"/>
      <c r="U5" s="255"/>
      <c r="V5" s="256"/>
      <c r="W5" s="254"/>
      <c r="X5" s="255"/>
      <c r="Y5" s="257"/>
      <c r="Z5" s="258"/>
      <c r="AA5" s="259"/>
      <c r="AB5" s="259"/>
      <c r="AC5" s="259"/>
      <c r="AD5" s="259"/>
      <c r="AE5" s="259"/>
      <c r="AF5" s="259"/>
      <c r="AG5" s="259"/>
      <c r="AH5" s="259"/>
      <c r="AI5" s="259"/>
      <c r="AJ5" s="260"/>
      <c r="AK5" s="251"/>
      <c r="AL5" s="252"/>
      <c r="AM5" s="252"/>
      <c r="AN5" s="253"/>
      <c r="AO5" s="254"/>
      <c r="AP5" s="255"/>
      <c r="AQ5" s="255"/>
      <c r="AR5" s="256"/>
    </row>
    <row r="6" spans="1:44" s="244" customFormat="1" ht="15" customHeight="1">
      <c r="A6" s="245"/>
      <c r="B6" s="246"/>
      <c r="C6" s="246"/>
      <c r="D6" s="247"/>
      <c r="E6" s="248"/>
      <c r="F6" s="249"/>
      <c r="G6" s="249"/>
      <c r="H6" s="249"/>
      <c r="I6" s="249"/>
      <c r="J6" s="249"/>
      <c r="K6" s="249"/>
      <c r="L6" s="249"/>
      <c r="M6" s="249"/>
      <c r="N6" s="250"/>
      <c r="O6" s="251"/>
      <c r="P6" s="252"/>
      <c r="Q6" s="252"/>
      <c r="R6" s="253"/>
      <c r="S6" s="254"/>
      <c r="T6" s="255"/>
      <c r="U6" s="255"/>
      <c r="V6" s="256"/>
      <c r="W6" s="254"/>
      <c r="X6" s="255"/>
      <c r="Y6" s="257"/>
      <c r="Z6" s="258"/>
      <c r="AA6" s="259"/>
      <c r="AB6" s="259"/>
      <c r="AC6" s="259"/>
      <c r="AD6" s="259"/>
      <c r="AE6" s="259"/>
      <c r="AF6" s="259"/>
      <c r="AG6" s="259"/>
      <c r="AH6" s="259"/>
      <c r="AI6" s="259"/>
      <c r="AJ6" s="260"/>
      <c r="AK6" s="251"/>
      <c r="AL6" s="252"/>
      <c r="AM6" s="252"/>
      <c r="AN6" s="253"/>
      <c r="AO6" s="254"/>
      <c r="AP6" s="255"/>
      <c r="AQ6" s="255"/>
      <c r="AR6" s="256"/>
    </row>
    <row r="7" spans="1:44" s="244" customFormat="1" ht="15" customHeight="1">
      <c r="A7" s="245"/>
      <c r="B7" s="246"/>
      <c r="C7" s="246"/>
      <c r="D7" s="247"/>
      <c r="E7" s="248"/>
      <c r="F7" s="249"/>
      <c r="G7" s="249"/>
      <c r="H7" s="249"/>
      <c r="I7" s="249"/>
      <c r="J7" s="249"/>
      <c r="K7" s="249"/>
      <c r="L7" s="249"/>
      <c r="M7" s="249"/>
      <c r="N7" s="250"/>
      <c r="O7" s="251"/>
      <c r="P7" s="252"/>
      <c r="Q7" s="252"/>
      <c r="R7" s="253"/>
      <c r="S7" s="254"/>
      <c r="T7" s="255"/>
      <c r="U7" s="255"/>
      <c r="V7" s="256"/>
      <c r="W7" s="254"/>
      <c r="X7" s="255"/>
      <c r="Y7" s="257"/>
      <c r="Z7" s="258"/>
      <c r="AA7" s="259"/>
      <c r="AB7" s="259"/>
      <c r="AC7" s="259"/>
      <c r="AD7" s="259"/>
      <c r="AE7" s="259"/>
      <c r="AF7" s="259"/>
      <c r="AG7" s="259"/>
      <c r="AH7" s="259"/>
      <c r="AI7" s="259"/>
      <c r="AJ7" s="260"/>
      <c r="AK7" s="251"/>
      <c r="AL7" s="252"/>
      <c r="AM7" s="252"/>
      <c r="AN7" s="253"/>
      <c r="AO7" s="254"/>
      <c r="AP7" s="255"/>
      <c r="AQ7" s="255"/>
      <c r="AR7" s="256"/>
    </row>
    <row r="8" spans="1:44" s="244" customFormat="1" ht="27" customHeight="1" thickBot="1">
      <c r="A8" s="261"/>
      <c r="B8" s="262"/>
      <c r="C8" s="262"/>
      <c r="D8" s="263"/>
      <c r="E8" s="264"/>
      <c r="F8" s="265"/>
      <c r="G8" s="265"/>
      <c r="H8" s="265"/>
      <c r="I8" s="265"/>
      <c r="J8" s="265"/>
      <c r="K8" s="265"/>
      <c r="L8" s="265"/>
      <c r="M8" s="265"/>
      <c r="N8" s="266"/>
      <c r="O8" s="267"/>
      <c r="P8" s="268"/>
      <c r="Q8" s="268"/>
      <c r="R8" s="269"/>
      <c r="S8" s="270"/>
      <c r="T8" s="271"/>
      <c r="U8" s="271"/>
      <c r="V8" s="272"/>
      <c r="W8" s="270"/>
      <c r="X8" s="271"/>
      <c r="Y8" s="273"/>
      <c r="Z8" s="274"/>
      <c r="AA8" s="275"/>
      <c r="AB8" s="275"/>
      <c r="AC8" s="275"/>
      <c r="AD8" s="275"/>
      <c r="AE8" s="275"/>
      <c r="AF8" s="275"/>
      <c r="AG8" s="275"/>
      <c r="AH8" s="275"/>
      <c r="AI8" s="275"/>
      <c r="AJ8" s="276"/>
      <c r="AK8" s="267"/>
      <c r="AL8" s="268"/>
      <c r="AM8" s="268"/>
      <c r="AN8" s="269"/>
      <c r="AO8" s="270"/>
      <c r="AP8" s="271"/>
      <c r="AQ8" s="271"/>
      <c r="AR8" s="272"/>
    </row>
    <row r="9" ht="11.25"/>
    <row r="10" ht="11.25"/>
    <row r="11" ht="11.25"/>
    <row r="12" ht="11.25"/>
    <row r="13" spans="9:10" ht="11.25">
      <c r="I13" s="279" t="s">
        <v>192</v>
      </c>
      <c r="J13" s="279"/>
    </row>
    <row r="14" spans="9:10" ht="11.25">
      <c r="I14" s="279" t="s">
        <v>193</v>
      </c>
      <c r="J14" s="279"/>
    </row>
    <row r="15" spans="9:10" ht="11.25">
      <c r="I15" s="279" t="s">
        <v>194</v>
      </c>
      <c r="J15" s="279"/>
    </row>
    <row r="16" spans="9:10" ht="11.25">
      <c r="I16" s="279" t="s">
        <v>195</v>
      </c>
      <c r="J16" s="279"/>
    </row>
    <row r="17" spans="7:59" ht="22.5" customHeight="1">
      <c r="G17" s="280" t="s">
        <v>196</v>
      </c>
      <c r="H17" s="281" t="s">
        <v>197</v>
      </c>
      <c r="I17" s="281" t="s">
        <v>9</v>
      </c>
      <c r="J17" s="282" t="s">
        <v>136</v>
      </c>
      <c r="K17" s="283"/>
      <c r="L17" s="284"/>
      <c r="M17" s="285"/>
      <c r="N17" s="285"/>
      <c r="O17" s="286" t="s">
        <v>198</v>
      </c>
      <c r="P17" s="286"/>
      <c r="Q17" s="286" t="s">
        <v>145</v>
      </c>
      <c r="R17" s="286"/>
      <c r="S17" s="286" t="s">
        <v>146</v>
      </c>
      <c r="T17" s="286"/>
      <c r="U17" s="286" t="s">
        <v>140</v>
      </c>
      <c r="V17" s="286"/>
      <c r="W17" s="281" t="s">
        <v>141</v>
      </c>
      <c r="X17" s="281" t="s">
        <v>142</v>
      </c>
      <c r="Y17" s="281" t="s">
        <v>143</v>
      </c>
      <c r="Z17" s="281" t="s">
        <v>144</v>
      </c>
      <c r="AA17" s="281" t="s">
        <v>2</v>
      </c>
      <c r="AB17" s="281" t="s">
        <v>199</v>
      </c>
      <c r="AC17" s="281" t="s">
        <v>200</v>
      </c>
      <c r="AD17" s="281"/>
      <c r="AE17" s="281" t="s">
        <v>201</v>
      </c>
      <c r="AF17" s="281"/>
      <c r="AG17" s="281" t="s">
        <v>202</v>
      </c>
      <c r="AH17" s="281"/>
      <c r="AI17" s="281" t="s">
        <v>203</v>
      </c>
      <c r="AJ17" s="281"/>
      <c r="AK17" s="281" t="s">
        <v>204</v>
      </c>
      <c r="AL17" s="281"/>
      <c r="AM17" s="281" t="s">
        <v>205</v>
      </c>
      <c r="AN17" s="281"/>
      <c r="AO17" s="281" t="s">
        <v>206</v>
      </c>
      <c r="AP17" s="281"/>
      <c r="AQ17" s="281" t="s">
        <v>207</v>
      </c>
      <c r="AR17" s="281"/>
      <c r="BB17" s="287" t="s">
        <v>145</v>
      </c>
      <c r="BC17" s="287"/>
      <c r="BD17" s="287" t="s">
        <v>146</v>
      </c>
      <c r="BE17" s="287"/>
      <c r="BF17" s="287" t="s">
        <v>140</v>
      </c>
      <c r="BG17" s="287"/>
    </row>
    <row r="18" spans="1:59" ht="27" customHeight="1" thickBot="1">
      <c r="A18" s="288" t="s">
        <v>208</v>
      </c>
      <c r="B18" s="288" t="s">
        <v>197</v>
      </c>
      <c r="C18" s="288" t="s">
        <v>209</v>
      </c>
      <c r="D18" s="288" t="s">
        <v>210</v>
      </c>
      <c r="E18" s="288" t="s">
        <v>211</v>
      </c>
      <c r="F18" s="288" t="s">
        <v>212</v>
      </c>
      <c r="G18" s="289"/>
      <c r="H18" s="281"/>
      <c r="I18" s="281"/>
      <c r="J18" s="290" t="s">
        <v>4</v>
      </c>
      <c r="K18" s="290" t="s">
        <v>5</v>
      </c>
      <c r="L18" s="290" t="s">
        <v>6</v>
      </c>
      <c r="M18" s="290" t="s">
        <v>137</v>
      </c>
      <c r="N18" s="290" t="s">
        <v>7</v>
      </c>
      <c r="O18" s="290" t="s">
        <v>115</v>
      </c>
      <c r="P18" s="290" t="s">
        <v>213</v>
      </c>
      <c r="Q18" s="290" t="s">
        <v>149</v>
      </c>
      <c r="R18" s="290" t="s">
        <v>150</v>
      </c>
      <c r="S18" s="290" t="s">
        <v>151</v>
      </c>
      <c r="T18" s="290" t="s">
        <v>152</v>
      </c>
      <c r="U18" s="290" t="s">
        <v>147</v>
      </c>
      <c r="V18" s="290" t="s">
        <v>152</v>
      </c>
      <c r="W18" s="281"/>
      <c r="X18" s="281"/>
      <c r="Y18" s="281"/>
      <c r="Z18" s="281"/>
      <c r="AA18" s="281"/>
      <c r="AB18" s="281"/>
      <c r="AC18" s="290" t="s">
        <v>214</v>
      </c>
      <c r="AD18" s="290" t="s">
        <v>215</v>
      </c>
      <c r="AE18" s="290" t="s">
        <v>214</v>
      </c>
      <c r="AF18" s="290" t="s">
        <v>215</v>
      </c>
      <c r="AG18" s="290" t="s">
        <v>214</v>
      </c>
      <c r="AH18" s="290" t="s">
        <v>215</v>
      </c>
      <c r="AI18" s="290" t="s">
        <v>214</v>
      </c>
      <c r="AJ18" s="290" t="s">
        <v>215</v>
      </c>
      <c r="AK18" s="290" t="s">
        <v>214</v>
      </c>
      <c r="AL18" s="290" t="s">
        <v>215</v>
      </c>
      <c r="AM18" s="290" t="s">
        <v>214</v>
      </c>
      <c r="AN18" s="290" t="s">
        <v>215</v>
      </c>
      <c r="AO18" s="290" t="s">
        <v>214</v>
      </c>
      <c r="AP18" s="290" t="s">
        <v>215</v>
      </c>
      <c r="AQ18" s="290" t="s">
        <v>214</v>
      </c>
      <c r="AR18" s="290" t="s">
        <v>215</v>
      </c>
      <c r="BB18" s="291" t="s">
        <v>149</v>
      </c>
      <c r="BC18" s="291" t="s">
        <v>150</v>
      </c>
      <c r="BD18" s="291" t="s">
        <v>151</v>
      </c>
      <c r="BE18" s="291" t="s">
        <v>152</v>
      </c>
      <c r="BF18" s="291" t="s">
        <v>147</v>
      </c>
      <c r="BG18" s="291" t="s">
        <v>152</v>
      </c>
    </row>
    <row r="19" spans="1:80" s="309" customFormat="1" ht="15.75" customHeight="1">
      <c r="A19" s="292" t="s">
        <v>216</v>
      </c>
      <c r="B19" s="292" t="s">
        <v>217</v>
      </c>
      <c r="C19" s="292" t="s">
        <v>218</v>
      </c>
      <c r="D19" s="292" t="s">
        <v>219</v>
      </c>
      <c r="E19" s="292" t="s">
        <v>220</v>
      </c>
      <c r="F19" s="292" t="s">
        <v>220</v>
      </c>
      <c r="G19" s="293">
        <v>11</v>
      </c>
      <c r="H19" s="294">
        <v>872</v>
      </c>
      <c r="I19" s="295" t="s">
        <v>221</v>
      </c>
      <c r="J19" s="296" t="s">
        <v>26</v>
      </c>
      <c r="K19" s="297"/>
      <c r="L19" s="297"/>
      <c r="M19" s="297">
        <v>0</v>
      </c>
      <c r="N19" s="297" t="s">
        <v>222</v>
      </c>
      <c r="O19" s="298">
        <v>0.25</v>
      </c>
      <c r="P19" s="299">
        <v>0.125</v>
      </c>
      <c r="Q19" s="300">
        <f>SUMIF('Actividades inversión 872'!$B$15:$B$17,'Metas inversión 872'!$B19,'Actividades inversión 872'!M$15:M$17)</f>
        <v>1000407000</v>
      </c>
      <c r="R19" s="300">
        <f>SUMIF('Actividades inversión 872'!$B$15:$B$17,'Metas inversión 872'!$B19,'Actividades inversión 872'!N$15:N$17)</f>
        <v>965391000</v>
      </c>
      <c r="S19" s="300">
        <f>SUMIF('Actividades inversión 872'!$B$15:$B$17,'Metas inversión 872'!$B19,'Actividades inversión 872'!O$15:O$17)</f>
        <v>710008000</v>
      </c>
      <c r="T19" s="300">
        <f>SUMIF('Actividades inversión 872'!$B$15:$B$17,'Metas inversión 872'!$B19,'Actividades inversión 872'!P$15:P$17)</f>
        <v>93421234</v>
      </c>
      <c r="U19" s="300">
        <f>SUMIF('Actividades inversión 872'!$B$15:$B$17,'Metas inversión 872'!$B19,'Actividades inversión 872'!Q$15:Q$17)</f>
        <v>106777267</v>
      </c>
      <c r="V19" s="300">
        <f>SUMIF('Actividades inversión 872'!$B$15:$B$17,'Metas inversión 872'!$B19,'Actividades inversión 872'!R$15:R$17)</f>
        <v>84063667</v>
      </c>
      <c r="W19" s="301" t="s">
        <v>223</v>
      </c>
      <c r="X19" s="301" t="s">
        <v>224</v>
      </c>
      <c r="Y19" s="301" t="s">
        <v>225</v>
      </c>
      <c r="Z19" s="302" t="s">
        <v>226</v>
      </c>
      <c r="AA19" s="303" t="s">
        <v>227</v>
      </c>
      <c r="AB19" s="304" t="s">
        <v>228</v>
      </c>
      <c r="AC19" s="305"/>
      <c r="AD19" s="305"/>
      <c r="AE19" s="305"/>
      <c r="AF19" s="305"/>
      <c r="AG19" s="305"/>
      <c r="AH19" s="305"/>
      <c r="AI19" s="305"/>
      <c r="AJ19" s="305"/>
      <c r="AK19" s="305"/>
      <c r="AL19" s="305"/>
      <c r="AM19" s="305"/>
      <c r="AN19" s="305"/>
      <c r="AO19" s="305"/>
      <c r="AP19" s="305"/>
      <c r="AQ19" s="306">
        <f aca="true" t="shared" si="0" ref="AQ19:AR24">+AC19+AE19+AG19+AI19+AK19+AM19+AO19</f>
        <v>0</v>
      </c>
      <c r="AR19" s="306">
        <f t="shared" si="0"/>
        <v>0</v>
      </c>
      <c r="AS19" s="307">
        <f>+R19-S19</f>
        <v>255383000</v>
      </c>
      <c r="AT19" s="307">
        <f>+S19-T19</f>
        <v>616586766</v>
      </c>
      <c r="AU19" s="307">
        <f>+U19-V19</f>
        <v>22713600</v>
      </c>
      <c r="AV19" s="278"/>
      <c r="AW19" s="307">
        <f>+'[2]Metas'!S19:S37-S19</f>
        <v>293263320</v>
      </c>
      <c r="AX19" s="307">
        <f>+'[2]Metas'!T19:T37-T19</f>
        <v>165936000</v>
      </c>
      <c r="AY19" s="307">
        <f>+'[2]Metas'!U19:U37-U19</f>
        <v>43372165</v>
      </c>
      <c r="AZ19" s="307">
        <f>+'[2]Metas'!V19:V37-V19</f>
        <v>66085765</v>
      </c>
      <c r="BA19" s="278"/>
      <c r="BB19" s="308">
        <f>SUM('[1]99-METROPOLITANO'!N30)</f>
        <v>1000407000</v>
      </c>
      <c r="BC19" s="308">
        <f>SUM('[1]99-METROPOLITANO'!O30)</f>
        <v>965391000</v>
      </c>
      <c r="BD19" s="308">
        <f>SUM('[1]99-METROPOLITANO'!P30)</f>
        <v>710008000</v>
      </c>
      <c r="BE19" s="308">
        <f>SUM('[1]99-METROPOLITANO'!Q30)</f>
        <v>93421234</v>
      </c>
      <c r="BF19" s="308">
        <f>SUM('[1]99-METROPOLITANO'!R30)</f>
        <v>106777267</v>
      </c>
      <c r="BG19" s="308">
        <f>SUM('[1]99-METROPOLITANO'!S30)</f>
        <v>84063667</v>
      </c>
      <c r="BK19" s="278"/>
      <c r="BL19" s="278"/>
      <c r="BM19" s="278"/>
      <c r="BN19" s="278"/>
      <c r="BO19" s="278"/>
      <c r="BP19" s="278"/>
      <c r="BQ19" s="278"/>
      <c r="BR19" s="278"/>
      <c r="BS19" s="278"/>
      <c r="BT19" s="278"/>
      <c r="BU19" s="278"/>
      <c r="BV19" s="278"/>
      <c r="BW19" s="278"/>
      <c r="BX19" s="278"/>
      <c r="BY19" s="278"/>
      <c r="BZ19" s="278"/>
      <c r="CA19" s="278"/>
      <c r="CB19" s="278"/>
    </row>
    <row r="20" spans="1:80" s="309" customFormat="1" ht="11.25" customHeight="1">
      <c r="A20" s="292"/>
      <c r="B20" s="292"/>
      <c r="C20" s="292"/>
      <c r="D20" s="292"/>
      <c r="E20" s="292"/>
      <c r="F20" s="292"/>
      <c r="G20" s="293"/>
      <c r="H20" s="310"/>
      <c r="I20" s="311"/>
      <c r="J20" s="312"/>
      <c r="K20" s="312"/>
      <c r="L20" s="312"/>
      <c r="M20" s="312"/>
      <c r="N20" s="312"/>
      <c r="O20" s="313"/>
      <c r="P20" s="314"/>
      <c r="Q20" s="315"/>
      <c r="R20" s="315"/>
      <c r="S20" s="315"/>
      <c r="T20" s="315"/>
      <c r="U20" s="315"/>
      <c r="V20" s="315"/>
      <c r="W20" s="316"/>
      <c r="X20" s="316"/>
      <c r="Y20" s="316"/>
      <c r="Z20" s="317"/>
      <c r="AA20" s="318"/>
      <c r="AB20" s="319" t="s">
        <v>229</v>
      </c>
      <c r="AC20" s="320"/>
      <c r="AD20" s="320"/>
      <c r="AE20" s="320"/>
      <c r="AF20" s="320"/>
      <c r="AG20" s="320"/>
      <c r="AH20" s="320"/>
      <c r="AI20" s="320"/>
      <c r="AJ20" s="320"/>
      <c r="AK20" s="320"/>
      <c r="AL20" s="320"/>
      <c r="AM20" s="320"/>
      <c r="AN20" s="320"/>
      <c r="AO20" s="320"/>
      <c r="AP20" s="320"/>
      <c r="AQ20" s="321">
        <f t="shared" si="0"/>
        <v>0</v>
      </c>
      <c r="AR20" s="322">
        <f>+AD20+AF20+AH20+AJ20+AL20+AN20+AP20</f>
        <v>0</v>
      </c>
      <c r="AS20" s="307">
        <f aca="true" t="shared" si="1" ref="AS20:AT40">+R20-S20</f>
        <v>0</v>
      </c>
      <c r="AT20" s="307">
        <f t="shared" si="1"/>
        <v>0</v>
      </c>
      <c r="AU20" s="307">
        <f aca="true" t="shared" si="2" ref="AU20:AU40">+U20-V20</f>
        <v>0</v>
      </c>
      <c r="AV20" s="278"/>
      <c r="AW20" s="307">
        <f>+'[2]Metas'!S20:S38-S20</f>
        <v>0</v>
      </c>
      <c r="AX20" s="307">
        <f>+'[2]Metas'!T20:T38-T20</f>
        <v>0</v>
      </c>
      <c r="AY20" s="307">
        <f>+'[2]Metas'!U20:U38-U20</f>
        <v>0</v>
      </c>
      <c r="AZ20" s="307">
        <f>+'[2]Metas'!V20:V38-V20</f>
        <v>0</v>
      </c>
      <c r="BA20" s="278"/>
      <c r="BB20" s="308"/>
      <c r="BC20" s="308"/>
      <c r="BD20" s="308"/>
      <c r="BE20" s="308"/>
      <c r="BF20" s="308"/>
      <c r="BG20" s="308"/>
      <c r="BK20" s="278"/>
      <c r="BL20" s="278"/>
      <c r="BM20" s="278"/>
      <c r="BN20" s="278"/>
      <c r="BO20" s="278"/>
      <c r="BP20" s="278"/>
      <c r="BQ20" s="278"/>
      <c r="BR20" s="278"/>
      <c r="BS20" s="278"/>
      <c r="BT20" s="278"/>
      <c r="BU20" s="278"/>
      <c r="BV20" s="278"/>
      <c r="BW20" s="278"/>
      <c r="BX20" s="278"/>
      <c r="BY20" s="278"/>
      <c r="BZ20" s="278"/>
      <c r="CA20" s="278"/>
      <c r="CB20" s="278"/>
    </row>
    <row r="21" spans="1:80" s="309" customFormat="1" ht="11.25" customHeight="1">
      <c r="A21" s="292"/>
      <c r="B21" s="292"/>
      <c r="C21" s="292"/>
      <c r="D21" s="292"/>
      <c r="E21" s="292"/>
      <c r="F21" s="292"/>
      <c r="G21" s="293"/>
      <c r="H21" s="310"/>
      <c r="I21" s="311"/>
      <c r="J21" s="312"/>
      <c r="K21" s="312"/>
      <c r="L21" s="312"/>
      <c r="M21" s="312"/>
      <c r="N21" s="312"/>
      <c r="O21" s="313"/>
      <c r="P21" s="314"/>
      <c r="Q21" s="315"/>
      <c r="R21" s="315"/>
      <c r="S21" s="315"/>
      <c r="T21" s="315"/>
      <c r="U21" s="315"/>
      <c r="V21" s="315"/>
      <c r="W21" s="316"/>
      <c r="X21" s="316"/>
      <c r="Y21" s="316"/>
      <c r="Z21" s="317"/>
      <c r="AA21" s="318"/>
      <c r="AB21" s="319" t="s">
        <v>230</v>
      </c>
      <c r="AC21" s="320"/>
      <c r="AD21" s="320"/>
      <c r="AE21" s="320"/>
      <c r="AF21" s="320"/>
      <c r="AG21" s="320"/>
      <c r="AH21" s="320"/>
      <c r="AI21" s="320"/>
      <c r="AJ21" s="320"/>
      <c r="AK21" s="320"/>
      <c r="AL21" s="320"/>
      <c r="AM21" s="320"/>
      <c r="AN21" s="320"/>
      <c r="AO21" s="320"/>
      <c r="AP21" s="320"/>
      <c r="AQ21" s="321">
        <f t="shared" si="0"/>
        <v>0</v>
      </c>
      <c r="AR21" s="322">
        <f>+AD21+AF21+AH21+AJ21+AL21+AN21+AP21</f>
        <v>0</v>
      </c>
      <c r="AS21" s="307">
        <f t="shared" si="1"/>
        <v>0</v>
      </c>
      <c r="AT21" s="307">
        <f t="shared" si="1"/>
        <v>0</v>
      </c>
      <c r="AU21" s="307">
        <f t="shared" si="2"/>
        <v>0</v>
      </c>
      <c r="AV21" s="278"/>
      <c r="AW21" s="307">
        <f>+'[2]Metas'!S21:S39-S21</f>
        <v>0</v>
      </c>
      <c r="AX21" s="307">
        <f>+'[2]Metas'!T21:T39-T21</f>
        <v>0</v>
      </c>
      <c r="AY21" s="307">
        <f>+'[2]Metas'!U21:U39-U21</f>
        <v>0</v>
      </c>
      <c r="AZ21" s="307">
        <f>+'[2]Metas'!V21:V39-V21</f>
        <v>0</v>
      </c>
      <c r="BA21" s="278"/>
      <c r="BB21" s="308"/>
      <c r="BC21" s="308"/>
      <c r="BD21" s="308"/>
      <c r="BE21" s="308"/>
      <c r="BF21" s="308"/>
      <c r="BG21" s="308"/>
      <c r="BK21" s="278"/>
      <c r="BL21" s="278"/>
      <c r="BM21" s="278"/>
      <c r="BN21" s="278"/>
      <c r="BO21" s="278"/>
      <c r="BP21" s="278"/>
      <c r="BQ21" s="278"/>
      <c r="BR21" s="278"/>
      <c r="BS21" s="278"/>
      <c r="BT21" s="278"/>
      <c r="BU21" s="278"/>
      <c r="BV21" s="278"/>
      <c r="BW21" s="278"/>
      <c r="BX21" s="278"/>
      <c r="BY21" s="278"/>
      <c r="BZ21" s="278"/>
      <c r="CA21" s="278"/>
      <c r="CB21" s="278"/>
    </row>
    <row r="22" spans="1:80" s="309" customFormat="1" ht="11.25" customHeight="1">
      <c r="A22" s="292"/>
      <c r="B22" s="292"/>
      <c r="C22" s="292"/>
      <c r="D22" s="292"/>
      <c r="E22" s="292"/>
      <c r="F22" s="292"/>
      <c r="G22" s="293"/>
      <c r="H22" s="310"/>
      <c r="I22" s="311"/>
      <c r="J22" s="312"/>
      <c r="K22" s="312"/>
      <c r="L22" s="312"/>
      <c r="M22" s="312"/>
      <c r="N22" s="312"/>
      <c r="O22" s="313"/>
      <c r="P22" s="314"/>
      <c r="Q22" s="315"/>
      <c r="R22" s="315"/>
      <c r="S22" s="315"/>
      <c r="T22" s="315"/>
      <c r="U22" s="315"/>
      <c r="V22" s="315"/>
      <c r="W22" s="316"/>
      <c r="X22" s="316"/>
      <c r="Y22" s="316"/>
      <c r="Z22" s="317"/>
      <c r="AA22" s="318"/>
      <c r="AB22" s="319" t="s">
        <v>231</v>
      </c>
      <c r="AC22" s="320"/>
      <c r="AD22" s="320"/>
      <c r="AE22" s="320"/>
      <c r="AF22" s="320"/>
      <c r="AG22" s="320"/>
      <c r="AH22" s="320"/>
      <c r="AI22" s="320"/>
      <c r="AJ22" s="320"/>
      <c r="AK22" s="320"/>
      <c r="AL22" s="320"/>
      <c r="AM22" s="320"/>
      <c r="AN22" s="320"/>
      <c r="AO22" s="320"/>
      <c r="AP22" s="320"/>
      <c r="AQ22" s="321">
        <f t="shared" si="0"/>
        <v>0</v>
      </c>
      <c r="AR22" s="322">
        <f>+AD22+AF22+AH22+AJ22+AL22+AN22+AP22</f>
        <v>0</v>
      </c>
      <c r="AS22" s="307">
        <f t="shared" si="1"/>
        <v>0</v>
      </c>
      <c r="AT22" s="307">
        <f t="shared" si="1"/>
        <v>0</v>
      </c>
      <c r="AU22" s="307">
        <f t="shared" si="2"/>
        <v>0</v>
      </c>
      <c r="AV22" s="278"/>
      <c r="AW22" s="307">
        <f>+'[2]Metas'!S22:S40-S22</f>
        <v>0</v>
      </c>
      <c r="AX22" s="307">
        <f>+'[2]Metas'!T22:T40-T22</f>
        <v>0</v>
      </c>
      <c r="AY22" s="307">
        <f>+'[2]Metas'!U22:U40-U22</f>
        <v>0</v>
      </c>
      <c r="AZ22" s="307">
        <f>+'[2]Metas'!V22:V40-V22</f>
        <v>0</v>
      </c>
      <c r="BA22" s="278"/>
      <c r="BB22" s="308"/>
      <c r="BC22" s="308"/>
      <c r="BD22" s="308"/>
      <c r="BE22" s="308"/>
      <c r="BF22" s="308"/>
      <c r="BG22" s="308"/>
      <c r="BK22" s="278"/>
      <c r="BL22" s="278"/>
      <c r="BM22" s="278"/>
      <c r="BN22" s="278"/>
      <c r="BO22" s="278"/>
      <c r="BP22" s="278"/>
      <c r="BQ22" s="278"/>
      <c r="BR22" s="278"/>
      <c r="BS22" s="278"/>
      <c r="BT22" s="278"/>
      <c r="BU22" s="278"/>
      <c r="BV22" s="278"/>
      <c r="BW22" s="278"/>
      <c r="BX22" s="278"/>
      <c r="BY22" s="278"/>
      <c r="BZ22" s="278"/>
      <c r="CA22" s="278"/>
      <c r="CB22" s="278"/>
    </row>
    <row r="23" spans="1:80" s="309" customFormat="1" ht="11.25" customHeight="1">
      <c r="A23" s="292"/>
      <c r="B23" s="292"/>
      <c r="C23" s="292"/>
      <c r="D23" s="292"/>
      <c r="E23" s="292"/>
      <c r="F23" s="292"/>
      <c r="G23" s="293"/>
      <c r="H23" s="310"/>
      <c r="I23" s="311"/>
      <c r="J23" s="312"/>
      <c r="K23" s="312"/>
      <c r="L23" s="312"/>
      <c r="M23" s="312"/>
      <c r="N23" s="312"/>
      <c r="O23" s="313"/>
      <c r="P23" s="314"/>
      <c r="Q23" s="315"/>
      <c r="R23" s="315"/>
      <c r="S23" s="315"/>
      <c r="T23" s="315"/>
      <c r="U23" s="315"/>
      <c r="V23" s="315"/>
      <c r="W23" s="316"/>
      <c r="X23" s="316"/>
      <c r="Y23" s="316"/>
      <c r="Z23" s="317"/>
      <c r="AA23" s="318"/>
      <c r="AB23" s="319" t="s">
        <v>232</v>
      </c>
      <c r="AC23" s="320"/>
      <c r="AD23" s="320"/>
      <c r="AE23" s="320"/>
      <c r="AF23" s="320"/>
      <c r="AG23" s="320"/>
      <c r="AH23" s="320"/>
      <c r="AI23" s="320"/>
      <c r="AJ23" s="320"/>
      <c r="AK23" s="320"/>
      <c r="AL23" s="320"/>
      <c r="AM23" s="320"/>
      <c r="AN23" s="320"/>
      <c r="AO23" s="320"/>
      <c r="AP23" s="320"/>
      <c r="AQ23" s="321">
        <f t="shared" si="0"/>
        <v>0</v>
      </c>
      <c r="AR23" s="322">
        <f>+AD23+AF23+AH23+AJ23+AL23+AN23+AP23</f>
        <v>0</v>
      </c>
      <c r="AS23" s="307">
        <f t="shared" si="1"/>
        <v>0</v>
      </c>
      <c r="AT23" s="307">
        <f t="shared" si="1"/>
        <v>0</v>
      </c>
      <c r="AU23" s="307">
        <f t="shared" si="2"/>
        <v>0</v>
      </c>
      <c r="AV23" s="278"/>
      <c r="AW23" s="307">
        <f>+'[2]Metas'!S23:S41-S23</f>
        <v>0</v>
      </c>
      <c r="AX23" s="307">
        <f>+'[2]Metas'!T23:T41-T23</f>
        <v>0</v>
      </c>
      <c r="AY23" s="307">
        <f>+'[2]Metas'!U23:U41-U23</f>
        <v>0</v>
      </c>
      <c r="AZ23" s="307">
        <f>+'[2]Metas'!V23:V41-V23</f>
        <v>0</v>
      </c>
      <c r="BA23" s="278"/>
      <c r="BB23" s="308"/>
      <c r="BC23" s="308"/>
      <c r="BD23" s="308"/>
      <c r="BE23" s="308"/>
      <c r="BF23" s="308"/>
      <c r="BG23" s="308"/>
      <c r="BK23" s="278"/>
      <c r="BL23" s="278"/>
      <c r="BM23" s="278"/>
      <c r="BN23" s="278"/>
      <c r="BO23" s="278"/>
      <c r="BP23" s="278"/>
      <c r="BQ23" s="278"/>
      <c r="BR23" s="278"/>
      <c r="BS23" s="278"/>
      <c r="BT23" s="278"/>
      <c r="BU23" s="278"/>
      <c r="BV23" s="278"/>
      <c r="BW23" s="278"/>
      <c r="BX23" s="278"/>
      <c r="BY23" s="278"/>
      <c r="BZ23" s="278"/>
      <c r="CA23" s="278"/>
      <c r="CB23" s="278"/>
    </row>
    <row r="24" spans="1:80" s="309" customFormat="1" ht="11.25" customHeight="1">
      <c r="A24" s="292"/>
      <c r="B24" s="292"/>
      <c r="C24" s="292"/>
      <c r="D24" s="292"/>
      <c r="E24" s="292"/>
      <c r="F24" s="292"/>
      <c r="G24" s="293"/>
      <c r="H24" s="310"/>
      <c r="I24" s="311"/>
      <c r="J24" s="312"/>
      <c r="K24" s="312"/>
      <c r="L24" s="312"/>
      <c r="M24" s="312"/>
      <c r="N24" s="312"/>
      <c r="O24" s="313"/>
      <c r="P24" s="314"/>
      <c r="Q24" s="315"/>
      <c r="R24" s="315"/>
      <c r="S24" s="315"/>
      <c r="T24" s="315"/>
      <c r="U24" s="315"/>
      <c r="V24" s="315"/>
      <c r="W24" s="316"/>
      <c r="X24" s="316"/>
      <c r="Y24" s="316"/>
      <c r="Z24" s="317"/>
      <c r="AA24" s="318"/>
      <c r="AB24" s="323" t="s">
        <v>233</v>
      </c>
      <c r="AC24" s="320"/>
      <c r="AD24" s="320"/>
      <c r="AE24" s="320"/>
      <c r="AF24" s="320"/>
      <c r="AG24" s="320"/>
      <c r="AH24" s="320"/>
      <c r="AI24" s="320"/>
      <c r="AJ24" s="320"/>
      <c r="AK24" s="320"/>
      <c r="AL24" s="320"/>
      <c r="AM24" s="320"/>
      <c r="AN24" s="320"/>
      <c r="AO24" s="320"/>
      <c r="AP24" s="320"/>
      <c r="AQ24" s="321">
        <f t="shared" si="0"/>
        <v>0</v>
      </c>
      <c r="AR24" s="322">
        <f>+AD24+AF24+AH24+AJ24+AL24+AN24+AP24</f>
        <v>0</v>
      </c>
      <c r="AS24" s="307">
        <f t="shared" si="1"/>
        <v>0</v>
      </c>
      <c r="AT24" s="307">
        <f t="shared" si="1"/>
        <v>0</v>
      </c>
      <c r="AU24" s="307">
        <f t="shared" si="2"/>
        <v>0</v>
      </c>
      <c r="AV24" s="278"/>
      <c r="AW24" s="307">
        <f>+'[2]Metas'!S24:S42-S24</f>
        <v>0</v>
      </c>
      <c r="AX24" s="307">
        <f>+'[2]Metas'!T24:T42-T24</f>
        <v>0</v>
      </c>
      <c r="AY24" s="307">
        <f>+'[2]Metas'!U24:U42-U24</f>
        <v>0</v>
      </c>
      <c r="AZ24" s="307">
        <f>+'[2]Metas'!V24:V42-V24</f>
        <v>0</v>
      </c>
      <c r="BA24" s="278"/>
      <c r="BB24" s="308"/>
      <c r="BC24" s="308"/>
      <c r="BD24" s="308"/>
      <c r="BE24" s="308"/>
      <c r="BF24" s="308"/>
      <c r="BG24" s="308"/>
      <c r="BK24" s="278"/>
      <c r="BL24" s="278"/>
      <c r="BM24" s="278"/>
      <c r="BN24" s="278"/>
      <c r="BO24" s="278"/>
      <c r="BP24" s="278"/>
      <c r="BQ24" s="278"/>
      <c r="BR24" s="278"/>
      <c r="BS24" s="278"/>
      <c r="BT24" s="278"/>
      <c r="BU24" s="278"/>
      <c r="BV24" s="278"/>
      <c r="BW24" s="278"/>
      <c r="BX24" s="278"/>
      <c r="BY24" s="278"/>
      <c r="BZ24" s="278"/>
      <c r="CA24" s="278"/>
      <c r="CB24" s="278"/>
    </row>
    <row r="25" spans="1:80" s="309" customFormat="1" ht="11.25" customHeight="1">
      <c r="A25" s="292"/>
      <c r="B25" s="292"/>
      <c r="C25" s="292"/>
      <c r="D25" s="292"/>
      <c r="E25" s="292"/>
      <c r="F25" s="292"/>
      <c r="G25" s="293"/>
      <c r="H25" s="310"/>
      <c r="I25" s="311"/>
      <c r="J25" s="312"/>
      <c r="K25" s="312"/>
      <c r="L25" s="312"/>
      <c r="M25" s="312"/>
      <c r="N25" s="312"/>
      <c r="O25" s="313"/>
      <c r="P25" s="314"/>
      <c r="Q25" s="315"/>
      <c r="R25" s="315"/>
      <c r="S25" s="315"/>
      <c r="T25" s="315"/>
      <c r="U25" s="315"/>
      <c r="V25" s="315"/>
      <c r="W25" s="316"/>
      <c r="X25" s="316"/>
      <c r="Y25" s="316"/>
      <c r="Z25" s="317"/>
      <c r="AA25" s="318"/>
      <c r="AB25" s="324" t="s">
        <v>234</v>
      </c>
      <c r="AC25" s="325">
        <f aca="true" t="shared" si="3" ref="AC25:AR25">SUM(AC19:AC24)</f>
        <v>0</v>
      </c>
      <c r="AD25" s="325">
        <f t="shared" si="3"/>
        <v>0</v>
      </c>
      <c r="AE25" s="325">
        <f t="shared" si="3"/>
        <v>0</v>
      </c>
      <c r="AF25" s="325">
        <f t="shared" si="3"/>
        <v>0</v>
      </c>
      <c r="AG25" s="325">
        <f t="shared" si="3"/>
        <v>0</v>
      </c>
      <c r="AH25" s="325">
        <f t="shared" si="3"/>
        <v>0</v>
      </c>
      <c r="AI25" s="325">
        <f t="shared" si="3"/>
        <v>0</v>
      </c>
      <c r="AJ25" s="325">
        <f t="shared" si="3"/>
        <v>0</v>
      </c>
      <c r="AK25" s="325">
        <f t="shared" si="3"/>
        <v>0</v>
      </c>
      <c r="AL25" s="325">
        <f t="shared" si="3"/>
        <v>0</v>
      </c>
      <c r="AM25" s="325">
        <f t="shared" si="3"/>
        <v>0</v>
      </c>
      <c r="AN25" s="325">
        <f t="shared" si="3"/>
        <v>0</v>
      </c>
      <c r="AO25" s="325">
        <f t="shared" si="3"/>
        <v>0</v>
      </c>
      <c r="AP25" s="325">
        <f t="shared" si="3"/>
        <v>0</v>
      </c>
      <c r="AQ25" s="325">
        <f t="shared" si="3"/>
        <v>0</v>
      </c>
      <c r="AR25" s="325">
        <f t="shared" si="3"/>
        <v>0</v>
      </c>
      <c r="AS25" s="307">
        <f t="shared" si="1"/>
        <v>0</v>
      </c>
      <c r="AT25" s="307">
        <f t="shared" si="1"/>
        <v>0</v>
      </c>
      <c r="AU25" s="307">
        <f t="shared" si="2"/>
        <v>0</v>
      </c>
      <c r="AV25" s="278"/>
      <c r="AW25" s="307">
        <f>+'[2]Metas'!S25:S43-S25</f>
        <v>0</v>
      </c>
      <c r="AX25" s="307">
        <f>+'[2]Metas'!T25:T43-T25</f>
        <v>0</v>
      </c>
      <c r="AY25" s="307">
        <f>+'[2]Metas'!U25:U43-U25</f>
        <v>0</v>
      </c>
      <c r="AZ25" s="307">
        <f>+'[2]Metas'!V25:V43-V25</f>
        <v>0</v>
      </c>
      <c r="BA25" s="278"/>
      <c r="BB25" s="308"/>
      <c r="BC25" s="308"/>
      <c r="BD25" s="308"/>
      <c r="BE25" s="308"/>
      <c r="BF25" s="308"/>
      <c r="BG25" s="308"/>
      <c r="BK25" s="278"/>
      <c r="BL25" s="278"/>
      <c r="BM25" s="278"/>
      <c r="BN25" s="278"/>
      <c r="BO25" s="278"/>
      <c r="BP25" s="278"/>
      <c r="BQ25" s="278"/>
      <c r="BR25" s="278"/>
      <c r="BS25" s="278"/>
      <c r="BT25" s="278"/>
      <c r="BU25" s="278"/>
      <c r="BV25" s="278"/>
      <c r="BW25" s="278"/>
      <c r="BX25" s="278"/>
      <c r="BY25" s="278"/>
      <c r="BZ25" s="278"/>
      <c r="CA25" s="278"/>
      <c r="CB25" s="278"/>
    </row>
    <row r="26" spans="1:80" s="309" customFormat="1" ht="11.25" customHeight="1">
      <c r="A26" s="292"/>
      <c r="B26" s="292"/>
      <c r="C26" s="292"/>
      <c r="D26" s="292"/>
      <c r="E26" s="292"/>
      <c r="F26" s="292"/>
      <c r="G26" s="293"/>
      <c r="H26" s="310"/>
      <c r="I26" s="311"/>
      <c r="J26" s="312"/>
      <c r="K26" s="312"/>
      <c r="L26" s="312"/>
      <c r="M26" s="312"/>
      <c r="N26" s="312"/>
      <c r="O26" s="313"/>
      <c r="P26" s="314"/>
      <c r="Q26" s="315"/>
      <c r="R26" s="315"/>
      <c r="S26" s="315"/>
      <c r="T26" s="315"/>
      <c r="U26" s="315"/>
      <c r="V26" s="315"/>
      <c r="W26" s="316"/>
      <c r="X26" s="316"/>
      <c r="Y26" s="316"/>
      <c r="Z26" s="317"/>
      <c r="AA26" s="318"/>
      <c r="AB26" s="319" t="s">
        <v>235</v>
      </c>
      <c r="AC26" s="320"/>
      <c r="AD26" s="320"/>
      <c r="AE26" s="320"/>
      <c r="AF26" s="320"/>
      <c r="AG26" s="320"/>
      <c r="AH26" s="320"/>
      <c r="AI26" s="320"/>
      <c r="AJ26" s="320"/>
      <c r="AK26" s="320"/>
      <c r="AL26" s="320"/>
      <c r="AM26" s="320"/>
      <c r="AN26" s="320"/>
      <c r="AO26" s="320"/>
      <c r="AP26" s="320"/>
      <c r="AQ26" s="321">
        <f>+AC26+AE26+AG26+AI26+AK26+AM26+AO26</f>
        <v>0</v>
      </c>
      <c r="AR26" s="322">
        <f aca="true" t="shared" si="4" ref="AR26:AR36">+AD26+AF26+AH26+AJ26+AL26+AN26+AP26</f>
        <v>0</v>
      </c>
      <c r="AS26" s="307">
        <f t="shared" si="1"/>
        <v>0</v>
      </c>
      <c r="AT26" s="307">
        <f t="shared" si="1"/>
        <v>0</v>
      </c>
      <c r="AU26" s="307">
        <f t="shared" si="2"/>
        <v>0</v>
      </c>
      <c r="AV26" s="278"/>
      <c r="AW26" s="307">
        <f>+'[2]Metas'!S26:S44-S26</f>
        <v>0</v>
      </c>
      <c r="AX26" s="307">
        <f>+'[2]Metas'!T26:T44-T26</f>
        <v>0</v>
      </c>
      <c r="AY26" s="307">
        <f>+'[2]Metas'!U26:U44-U26</f>
        <v>0</v>
      </c>
      <c r="AZ26" s="307">
        <f>+'[2]Metas'!V26:V44-V26</f>
        <v>0</v>
      </c>
      <c r="BA26" s="278"/>
      <c r="BB26" s="308"/>
      <c r="BC26" s="308"/>
      <c r="BD26" s="308"/>
      <c r="BE26" s="308"/>
      <c r="BF26" s="308"/>
      <c r="BG26" s="308"/>
      <c r="BK26" s="278"/>
      <c r="BL26" s="278"/>
      <c r="BM26" s="278"/>
      <c r="BN26" s="278"/>
      <c r="BO26" s="278"/>
      <c r="BP26" s="278"/>
      <c r="BQ26" s="278"/>
      <c r="BR26" s="278"/>
      <c r="BS26" s="278"/>
      <c r="BT26" s="278"/>
      <c r="BU26" s="278"/>
      <c r="BV26" s="278"/>
      <c r="BW26" s="278"/>
      <c r="BX26" s="278"/>
      <c r="BY26" s="278"/>
      <c r="BZ26" s="278"/>
      <c r="CA26" s="278"/>
      <c r="CB26" s="278"/>
    </row>
    <row r="27" spans="1:80" s="309" customFormat="1" ht="11.25" customHeight="1">
      <c r="A27" s="292"/>
      <c r="B27" s="292"/>
      <c r="C27" s="292"/>
      <c r="D27" s="292"/>
      <c r="E27" s="292"/>
      <c r="F27" s="292"/>
      <c r="G27" s="293"/>
      <c r="H27" s="310"/>
      <c r="I27" s="311"/>
      <c r="J27" s="312"/>
      <c r="K27" s="312"/>
      <c r="L27" s="312"/>
      <c r="M27" s="312"/>
      <c r="N27" s="312"/>
      <c r="O27" s="313"/>
      <c r="P27" s="314"/>
      <c r="Q27" s="315"/>
      <c r="R27" s="315"/>
      <c r="S27" s="315"/>
      <c r="T27" s="315"/>
      <c r="U27" s="315"/>
      <c r="V27" s="315"/>
      <c r="W27" s="316"/>
      <c r="X27" s="316"/>
      <c r="Y27" s="316"/>
      <c r="Z27" s="317"/>
      <c r="AA27" s="318"/>
      <c r="AB27" s="319" t="s">
        <v>236</v>
      </c>
      <c r="AC27" s="320"/>
      <c r="AD27" s="320"/>
      <c r="AE27" s="320"/>
      <c r="AF27" s="320"/>
      <c r="AG27" s="320"/>
      <c r="AH27" s="320"/>
      <c r="AI27" s="320"/>
      <c r="AJ27" s="320"/>
      <c r="AK27" s="320"/>
      <c r="AL27" s="320"/>
      <c r="AM27" s="320"/>
      <c r="AN27" s="320"/>
      <c r="AO27" s="320"/>
      <c r="AP27" s="320"/>
      <c r="AQ27" s="321">
        <f aca="true" t="shared" si="5" ref="AQ27:AQ36">+AC27+AE27+AG27+AI27+AK27+AM27+AO27</f>
        <v>0</v>
      </c>
      <c r="AR27" s="322">
        <f t="shared" si="4"/>
        <v>0</v>
      </c>
      <c r="AS27" s="307">
        <f t="shared" si="1"/>
        <v>0</v>
      </c>
      <c r="AT27" s="307">
        <f t="shared" si="1"/>
        <v>0</v>
      </c>
      <c r="AU27" s="307">
        <f t="shared" si="2"/>
        <v>0</v>
      </c>
      <c r="AV27" s="278"/>
      <c r="AW27" s="307">
        <f>+'[2]Metas'!S27:S45-S27</f>
        <v>0</v>
      </c>
      <c r="AX27" s="307">
        <f>+'[2]Metas'!T27:T45-T27</f>
        <v>0</v>
      </c>
      <c r="AY27" s="307">
        <f>+'[2]Metas'!U27:U45-U27</f>
        <v>0</v>
      </c>
      <c r="AZ27" s="307">
        <f>+'[2]Metas'!V27:V45-V27</f>
        <v>0</v>
      </c>
      <c r="BA27" s="278"/>
      <c r="BB27" s="308"/>
      <c r="BC27" s="308"/>
      <c r="BD27" s="308"/>
      <c r="BE27" s="308"/>
      <c r="BF27" s="308"/>
      <c r="BG27" s="308"/>
      <c r="BK27" s="278"/>
      <c r="BL27" s="278"/>
      <c r="BM27" s="278"/>
      <c r="BN27" s="278"/>
      <c r="BO27" s="278"/>
      <c r="BP27" s="278"/>
      <c r="BQ27" s="278"/>
      <c r="BR27" s="278"/>
      <c r="BS27" s="278"/>
      <c r="BT27" s="278"/>
      <c r="BU27" s="278"/>
      <c r="BV27" s="278"/>
      <c r="BW27" s="278"/>
      <c r="BX27" s="278"/>
      <c r="BY27" s="278"/>
      <c r="BZ27" s="278"/>
      <c r="CA27" s="278"/>
      <c r="CB27" s="278"/>
    </row>
    <row r="28" spans="1:80" s="309" customFormat="1" ht="11.25" customHeight="1">
      <c r="A28" s="292"/>
      <c r="B28" s="292"/>
      <c r="C28" s="292"/>
      <c r="D28" s="292"/>
      <c r="E28" s="292"/>
      <c r="F28" s="292"/>
      <c r="G28" s="293"/>
      <c r="H28" s="310"/>
      <c r="I28" s="311"/>
      <c r="J28" s="312"/>
      <c r="K28" s="312"/>
      <c r="L28" s="312"/>
      <c r="M28" s="312"/>
      <c r="N28" s="312"/>
      <c r="O28" s="313"/>
      <c r="P28" s="314"/>
      <c r="Q28" s="315"/>
      <c r="R28" s="315"/>
      <c r="S28" s="315"/>
      <c r="T28" s="315"/>
      <c r="U28" s="315"/>
      <c r="V28" s="315"/>
      <c r="W28" s="316"/>
      <c r="X28" s="316"/>
      <c r="Y28" s="316"/>
      <c r="Z28" s="317"/>
      <c r="AA28" s="318"/>
      <c r="AB28" s="323" t="s">
        <v>237</v>
      </c>
      <c r="AC28" s="320"/>
      <c r="AD28" s="320"/>
      <c r="AE28" s="320"/>
      <c r="AF28" s="320"/>
      <c r="AG28" s="320"/>
      <c r="AH28" s="320"/>
      <c r="AI28" s="320"/>
      <c r="AJ28" s="320"/>
      <c r="AK28" s="320"/>
      <c r="AL28" s="320"/>
      <c r="AM28" s="320"/>
      <c r="AN28" s="320"/>
      <c r="AO28" s="320"/>
      <c r="AP28" s="320"/>
      <c r="AQ28" s="321">
        <f t="shared" si="5"/>
        <v>0</v>
      </c>
      <c r="AR28" s="322">
        <f t="shared" si="4"/>
        <v>0</v>
      </c>
      <c r="AS28" s="307">
        <f t="shared" si="1"/>
        <v>0</v>
      </c>
      <c r="AT28" s="307">
        <f t="shared" si="1"/>
        <v>0</v>
      </c>
      <c r="AU28" s="307">
        <f t="shared" si="2"/>
        <v>0</v>
      </c>
      <c r="AV28" s="278"/>
      <c r="AW28" s="307">
        <f>+'[2]Metas'!S28:S46-S28</f>
        <v>0</v>
      </c>
      <c r="AX28" s="307">
        <f>+'[2]Metas'!T28:T46-T28</f>
        <v>0</v>
      </c>
      <c r="AY28" s="307">
        <f>+'[2]Metas'!U28:U46-U28</f>
        <v>0</v>
      </c>
      <c r="AZ28" s="307">
        <f>+'[2]Metas'!V28:V46-V28</f>
        <v>0</v>
      </c>
      <c r="BA28" s="278"/>
      <c r="BB28" s="308"/>
      <c r="BC28" s="308"/>
      <c r="BD28" s="308"/>
      <c r="BE28" s="308"/>
      <c r="BF28" s="308"/>
      <c r="BG28" s="308"/>
      <c r="BK28" s="278"/>
      <c r="BL28" s="278"/>
      <c r="BM28" s="278"/>
      <c r="BN28" s="278"/>
      <c r="BO28" s="278"/>
      <c r="BP28" s="278"/>
      <c r="BQ28" s="278"/>
      <c r="BR28" s="278"/>
      <c r="BS28" s="278"/>
      <c r="BT28" s="278"/>
      <c r="BU28" s="278"/>
      <c r="BV28" s="278"/>
      <c r="BW28" s="278"/>
      <c r="BX28" s="278"/>
      <c r="BY28" s="278"/>
      <c r="BZ28" s="278"/>
      <c r="CA28" s="278"/>
      <c r="CB28" s="278"/>
    </row>
    <row r="29" spans="1:80" s="309" customFormat="1" ht="11.25" customHeight="1">
      <c r="A29" s="292"/>
      <c r="B29" s="292"/>
      <c r="C29" s="292"/>
      <c r="D29" s="292"/>
      <c r="E29" s="292"/>
      <c r="F29" s="292"/>
      <c r="G29" s="293"/>
      <c r="H29" s="310"/>
      <c r="I29" s="311"/>
      <c r="J29" s="312"/>
      <c r="K29" s="312"/>
      <c r="L29" s="312"/>
      <c r="M29" s="312"/>
      <c r="N29" s="312"/>
      <c r="O29" s="313"/>
      <c r="P29" s="314"/>
      <c r="Q29" s="315"/>
      <c r="R29" s="315"/>
      <c r="S29" s="315"/>
      <c r="T29" s="315"/>
      <c r="U29" s="315"/>
      <c r="V29" s="315"/>
      <c r="W29" s="316"/>
      <c r="X29" s="316"/>
      <c r="Y29" s="316"/>
      <c r="Z29" s="317"/>
      <c r="AA29" s="318"/>
      <c r="AB29" s="323" t="s">
        <v>238</v>
      </c>
      <c r="AC29" s="320"/>
      <c r="AD29" s="320"/>
      <c r="AE29" s="320"/>
      <c r="AF29" s="320"/>
      <c r="AG29" s="320"/>
      <c r="AH29" s="320"/>
      <c r="AI29" s="320"/>
      <c r="AJ29" s="320"/>
      <c r="AK29" s="320"/>
      <c r="AL29" s="320"/>
      <c r="AM29" s="320"/>
      <c r="AN29" s="320"/>
      <c r="AO29" s="320"/>
      <c r="AP29" s="320"/>
      <c r="AQ29" s="321">
        <f t="shared" si="5"/>
        <v>0</v>
      </c>
      <c r="AR29" s="322">
        <f t="shared" si="4"/>
        <v>0</v>
      </c>
      <c r="AS29" s="307">
        <f t="shared" si="1"/>
        <v>0</v>
      </c>
      <c r="AT29" s="307">
        <f t="shared" si="1"/>
        <v>0</v>
      </c>
      <c r="AU29" s="307">
        <f t="shared" si="2"/>
        <v>0</v>
      </c>
      <c r="AV29" s="278"/>
      <c r="AW29" s="307">
        <f>+'[2]Metas'!S29:S47-S29</f>
        <v>0</v>
      </c>
      <c r="AX29" s="307">
        <f>+'[2]Metas'!T29:T47-T29</f>
        <v>0</v>
      </c>
      <c r="AY29" s="307">
        <f>+'[2]Metas'!U29:U47-U29</f>
        <v>0</v>
      </c>
      <c r="AZ29" s="307">
        <f>+'[2]Metas'!V29:V47-V29</f>
        <v>0</v>
      </c>
      <c r="BA29" s="278"/>
      <c r="BB29" s="308"/>
      <c r="BC29" s="308"/>
      <c r="BD29" s="308"/>
      <c r="BE29" s="308"/>
      <c r="BF29" s="308"/>
      <c r="BG29" s="308"/>
      <c r="BK29" s="278"/>
      <c r="BL29" s="278"/>
      <c r="BM29" s="278"/>
      <c r="BN29" s="278"/>
      <c r="BO29" s="278"/>
      <c r="BP29" s="278"/>
      <c r="BQ29" s="278"/>
      <c r="BR29" s="278"/>
      <c r="BS29" s="278"/>
      <c r="BT29" s="278"/>
      <c r="BU29" s="278"/>
      <c r="BV29" s="278"/>
      <c r="BW29" s="278"/>
      <c r="BX29" s="278"/>
      <c r="BY29" s="278"/>
      <c r="BZ29" s="278"/>
      <c r="CA29" s="278"/>
      <c r="CB29" s="278"/>
    </row>
    <row r="30" spans="1:80" s="309" customFormat="1" ht="11.25" customHeight="1">
      <c r="A30" s="292"/>
      <c r="B30" s="292"/>
      <c r="C30" s="292"/>
      <c r="D30" s="292"/>
      <c r="E30" s="292"/>
      <c r="F30" s="292"/>
      <c r="G30" s="293"/>
      <c r="H30" s="310"/>
      <c r="I30" s="311"/>
      <c r="J30" s="312"/>
      <c r="K30" s="312"/>
      <c r="L30" s="312"/>
      <c r="M30" s="312"/>
      <c r="N30" s="312"/>
      <c r="O30" s="313"/>
      <c r="P30" s="314"/>
      <c r="Q30" s="315"/>
      <c r="R30" s="315"/>
      <c r="S30" s="315"/>
      <c r="T30" s="315"/>
      <c r="U30" s="315"/>
      <c r="V30" s="315"/>
      <c r="W30" s="316"/>
      <c r="X30" s="316"/>
      <c r="Y30" s="316"/>
      <c r="Z30" s="317"/>
      <c r="AA30" s="318"/>
      <c r="AB30" s="323" t="s">
        <v>239</v>
      </c>
      <c r="AC30" s="320"/>
      <c r="AD30" s="320"/>
      <c r="AE30" s="320"/>
      <c r="AF30" s="320"/>
      <c r="AG30" s="320"/>
      <c r="AH30" s="320"/>
      <c r="AI30" s="320"/>
      <c r="AJ30" s="320"/>
      <c r="AK30" s="320"/>
      <c r="AL30" s="320"/>
      <c r="AM30" s="320"/>
      <c r="AN30" s="320"/>
      <c r="AO30" s="320"/>
      <c r="AP30" s="320"/>
      <c r="AQ30" s="321">
        <f t="shared" si="5"/>
        <v>0</v>
      </c>
      <c r="AR30" s="322">
        <f t="shared" si="4"/>
        <v>0</v>
      </c>
      <c r="AS30" s="307">
        <f t="shared" si="1"/>
        <v>0</v>
      </c>
      <c r="AT30" s="307">
        <f t="shared" si="1"/>
        <v>0</v>
      </c>
      <c r="AU30" s="307">
        <f t="shared" si="2"/>
        <v>0</v>
      </c>
      <c r="AV30" s="278"/>
      <c r="AW30" s="307">
        <f>+'[2]Metas'!S30:S48-S30</f>
        <v>0</v>
      </c>
      <c r="AX30" s="307">
        <f>+'[2]Metas'!T30:T48-T30</f>
        <v>0</v>
      </c>
      <c r="AY30" s="307">
        <f>+'[2]Metas'!U30:U48-U30</f>
        <v>0</v>
      </c>
      <c r="AZ30" s="307">
        <f>+'[2]Metas'!V30:V48-V30</f>
        <v>0</v>
      </c>
      <c r="BA30" s="278"/>
      <c r="BB30" s="308"/>
      <c r="BC30" s="308"/>
      <c r="BD30" s="308"/>
      <c r="BE30" s="308"/>
      <c r="BF30" s="308"/>
      <c r="BG30" s="308"/>
      <c r="BK30" s="278"/>
      <c r="BL30" s="278"/>
      <c r="BM30" s="278"/>
      <c r="BN30" s="278"/>
      <c r="BO30" s="278"/>
      <c r="BP30" s="278"/>
      <c r="BQ30" s="278"/>
      <c r="BR30" s="278"/>
      <c r="BS30" s="278"/>
      <c r="BT30" s="278"/>
      <c r="BU30" s="278"/>
      <c r="BV30" s="278"/>
      <c r="BW30" s="278"/>
      <c r="BX30" s="278"/>
      <c r="BY30" s="278"/>
      <c r="BZ30" s="278"/>
      <c r="CA30" s="278"/>
      <c r="CB30" s="278"/>
    </row>
    <row r="31" spans="1:80" s="309" customFormat="1" ht="11.25" customHeight="1">
      <c r="A31" s="292"/>
      <c r="B31" s="292"/>
      <c r="C31" s="292"/>
      <c r="D31" s="292"/>
      <c r="E31" s="292"/>
      <c r="F31" s="292"/>
      <c r="G31" s="293"/>
      <c r="H31" s="310"/>
      <c r="I31" s="311"/>
      <c r="J31" s="312"/>
      <c r="K31" s="312"/>
      <c r="L31" s="312"/>
      <c r="M31" s="312"/>
      <c r="N31" s="312"/>
      <c r="O31" s="313"/>
      <c r="P31" s="314"/>
      <c r="Q31" s="315"/>
      <c r="R31" s="315"/>
      <c r="S31" s="315"/>
      <c r="T31" s="315"/>
      <c r="U31" s="315"/>
      <c r="V31" s="315"/>
      <c r="W31" s="316"/>
      <c r="X31" s="316"/>
      <c r="Y31" s="316"/>
      <c r="Z31" s="317"/>
      <c r="AA31" s="318"/>
      <c r="AB31" s="323" t="s">
        <v>240</v>
      </c>
      <c r="AC31" s="320"/>
      <c r="AD31" s="320"/>
      <c r="AE31" s="320"/>
      <c r="AF31" s="320"/>
      <c r="AG31" s="320"/>
      <c r="AH31" s="320"/>
      <c r="AI31" s="320"/>
      <c r="AJ31" s="320"/>
      <c r="AK31" s="320"/>
      <c r="AL31" s="320"/>
      <c r="AM31" s="320"/>
      <c r="AN31" s="320"/>
      <c r="AO31" s="320"/>
      <c r="AP31" s="320"/>
      <c r="AQ31" s="321">
        <f t="shared" si="5"/>
        <v>0</v>
      </c>
      <c r="AR31" s="322">
        <f t="shared" si="4"/>
        <v>0</v>
      </c>
      <c r="AS31" s="307">
        <f t="shared" si="1"/>
        <v>0</v>
      </c>
      <c r="AT31" s="307">
        <f t="shared" si="1"/>
        <v>0</v>
      </c>
      <c r="AU31" s="307">
        <f t="shared" si="2"/>
        <v>0</v>
      </c>
      <c r="AV31" s="278"/>
      <c r="AW31" s="307">
        <f>+'[2]Metas'!S31:S49-S31</f>
        <v>0</v>
      </c>
      <c r="AX31" s="307">
        <f>+'[2]Metas'!T31:T49-T31</f>
        <v>0</v>
      </c>
      <c r="AY31" s="307">
        <f>+'[2]Metas'!U31:U49-U31</f>
        <v>0</v>
      </c>
      <c r="AZ31" s="307">
        <f>+'[2]Metas'!V31:V49-V31</f>
        <v>0</v>
      </c>
      <c r="BA31" s="278"/>
      <c r="BB31" s="308"/>
      <c r="BC31" s="308"/>
      <c r="BD31" s="308"/>
      <c r="BE31" s="308"/>
      <c r="BF31" s="308"/>
      <c r="BG31" s="308"/>
      <c r="BK31" s="278"/>
      <c r="BL31" s="278"/>
      <c r="BM31" s="278"/>
      <c r="BN31" s="278"/>
      <c r="BO31" s="278"/>
      <c r="BP31" s="278"/>
      <c r="BQ31" s="278"/>
      <c r="BR31" s="278"/>
      <c r="BS31" s="278"/>
      <c r="BT31" s="278"/>
      <c r="BU31" s="278"/>
      <c r="BV31" s="278"/>
      <c r="BW31" s="278"/>
      <c r="BX31" s="278"/>
      <c r="BY31" s="278"/>
      <c r="BZ31" s="278"/>
      <c r="CA31" s="278"/>
      <c r="CB31" s="278"/>
    </row>
    <row r="32" spans="1:80" s="309" customFormat="1" ht="11.25" customHeight="1">
      <c r="A32" s="292"/>
      <c r="B32" s="292"/>
      <c r="C32" s="292"/>
      <c r="D32" s="292"/>
      <c r="E32" s="292"/>
      <c r="F32" s="292"/>
      <c r="G32" s="293"/>
      <c r="H32" s="310"/>
      <c r="I32" s="311"/>
      <c r="J32" s="312"/>
      <c r="K32" s="312"/>
      <c r="L32" s="312"/>
      <c r="M32" s="312"/>
      <c r="N32" s="312"/>
      <c r="O32" s="313"/>
      <c r="P32" s="314"/>
      <c r="Q32" s="315"/>
      <c r="R32" s="315"/>
      <c r="S32" s="315"/>
      <c r="T32" s="315"/>
      <c r="U32" s="315"/>
      <c r="V32" s="315"/>
      <c r="W32" s="316"/>
      <c r="X32" s="316"/>
      <c r="Y32" s="316"/>
      <c r="Z32" s="317"/>
      <c r="AA32" s="318"/>
      <c r="AB32" s="323"/>
      <c r="AC32" s="320"/>
      <c r="AD32" s="320"/>
      <c r="AE32" s="320"/>
      <c r="AF32" s="320"/>
      <c r="AG32" s="320"/>
      <c r="AH32" s="320"/>
      <c r="AI32" s="320"/>
      <c r="AJ32" s="320"/>
      <c r="AK32" s="320"/>
      <c r="AL32" s="320"/>
      <c r="AM32" s="320"/>
      <c r="AN32" s="320"/>
      <c r="AO32" s="320"/>
      <c r="AP32" s="320"/>
      <c r="AQ32" s="321"/>
      <c r="AR32" s="322"/>
      <c r="AS32" s="307"/>
      <c r="AT32" s="307"/>
      <c r="AU32" s="307"/>
      <c r="AV32" s="278"/>
      <c r="AW32" s="307"/>
      <c r="AX32" s="307"/>
      <c r="AY32" s="307"/>
      <c r="AZ32" s="307"/>
      <c r="BA32" s="278"/>
      <c r="BB32" s="308"/>
      <c r="BC32" s="308"/>
      <c r="BD32" s="308"/>
      <c r="BE32" s="308"/>
      <c r="BF32" s="308"/>
      <c r="BG32" s="308"/>
      <c r="BK32" s="278"/>
      <c r="BL32" s="278"/>
      <c r="BM32" s="278"/>
      <c r="BN32" s="278"/>
      <c r="BO32" s="278"/>
      <c r="BP32" s="278"/>
      <c r="BQ32" s="278"/>
      <c r="BR32" s="278"/>
      <c r="BS32" s="278"/>
      <c r="BT32" s="278"/>
      <c r="BU32" s="278"/>
      <c r="BV32" s="278"/>
      <c r="BW32" s="278"/>
      <c r="BX32" s="278"/>
      <c r="BY32" s="278"/>
      <c r="BZ32" s="278"/>
      <c r="CA32" s="278"/>
      <c r="CB32" s="278"/>
    </row>
    <row r="33" spans="1:80" s="309" customFormat="1" ht="11.25" customHeight="1">
      <c r="A33" s="292"/>
      <c r="B33" s="292"/>
      <c r="C33" s="292"/>
      <c r="D33" s="292"/>
      <c r="E33" s="292"/>
      <c r="F33" s="292"/>
      <c r="G33" s="293"/>
      <c r="H33" s="310"/>
      <c r="I33" s="311"/>
      <c r="J33" s="312"/>
      <c r="K33" s="312"/>
      <c r="L33" s="312"/>
      <c r="M33" s="312"/>
      <c r="N33" s="312"/>
      <c r="O33" s="313"/>
      <c r="P33" s="314"/>
      <c r="Q33" s="315"/>
      <c r="R33" s="315"/>
      <c r="S33" s="315"/>
      <c r="T33" s="315"/>
      <c r="U33" s="315"/>
      <c r="V33" s="315"/>
      <c r="W33" s="316"/>
      <c r="X33" s="316"/>
      <c r="Y33" s="316"/>
      <c r="Z33" s="317"/>
      <c r="AA33" s="318"/>
      <c r="AB33" s="323"/>
      <c r="AC33" s="320"/>
      <c r="AD33" s="320"/>
      <c r="AE33" s="320"/>
      <c r="AF33" s="320"/>
      <c r="AG33" s="320"/>
      <c r="AH33" s="320"/>
      <c r="AI33" s="320"/>
      <c r="AJ33" s="320"/>
      <c r="AK33" s="320"/>
      <c r="AL33" s="320"/>
      <c r="AM33" s="320"/>
      <c r="AN33" s="320"/>
      <c r="AO33" s="320"/>
      <c r="AP33" s="320"/>
      <c r="AQ33" s="321"/>
      <c r="AR33" s="322"/>
      <c r="AS33" s="307"/>
      <c r="AT33" s="307"/>
      <c r="AU33" s="307"/>
      <c r="AV33" s="278"/>
      <c r="AW33" s="307"/>
      <c r="AX33" s="307"/>
      <c r="AY33" s="307"/>
      <c r="AZ33" s="307"/>
      <c r="BA33" s="278"/>
      <c r="BB33" s="308"/>
      <c r="BC33" s="308"/>
      <c r="BD33" s="308"/>
      <c r="BE33" s="308"/>
      <c r="BF33" s="308"/>
      <c r="BG33" s="308"/>
      <c r="BK33" s="278"/>
      <c r="BL33" s="278"/>
      <c r="BM33" s="278"/>
      <c r="BN33" s="278"/>
      <c r="BO33" s="278"/>
      <c r="BP33" s="278"/>
      <c r="BQ33" s="278"/>
      <c r="BR33" s="278"/>
      <c r="BS33" s="278"/>
      <c r="BT33" s="278"/>
      <c r="BU33" s="278"/>
      <c r="BV33" s="278"/>
      <c r="BW33" s="278"/>
      <c r="BX33" s="278"/>
      <c r="BY33" s="278"/>
      <c r="BZ33" s="278"/>
      <c r="CA33" s="278"/>
      <c r="CB33" s="278"/>
    </row>
    <row r="34" spans="1:80" s="309" customFormat="1" ht="11.25" customHeight="1">
      <c r="A34" s="292"/>
      <c r="B34" s="292"/>
      <c r="C34" s="292"/>
      <c r="D34" s="292"/>
      <c r="E34" s="292"/>
      <c r="F34" s="292"/>
      <c r="G34" s="293"/>
      <c r="H34" s="310"/>
      <c r="I34" s="311"/>
      <c r="J34" s="312"/>
      <c r="K34" s="312"/>
      <c r="L34" s="312"/>
      <c r="M34" s="312"/>
      <c r="N34" s="312"/>
      <c r="O34" s="313"/>
      <c r="P34" s="314"/>
      <c r="Q34" s="315"/>
      <c r="R34" s="315"/>
      <c r="S34" s="315"/>
      <c r="T34" s="315"/>
      <c r="U34" s="315"/>
      <c r="V34" s="315"/>
      <c r="W34" s="316"/>
      <c r="X34" s="316"/>
      <c r="Y34" s="316"/>
      <c r="Z34" s="317"/>
      <c r="AA34" s="318"/>
      <c r="AB34" s="323"/>
      <c r="AC34" s="320"/>
      <c r="AD34" s="320"/>
      <c r="AE34" s="320"/>
      <c r="AF34" s="320"/>
      <c r="AG34" s="320"/>
      <c r="AH34" s="320"/>
      <c r="AI34" s="320"/>
      <c r="AJ34" s="320"/>
      <c r="AK34" s="320"/>
      <c r="AL34" s="320"/>
      <c r="AM34" s="320"/>
      <c r="AN34" s="320"/>
      <c r="AO34" s="320"/>
      <c r="AP34" s="320"/>
      <c r="AQ34" s="321"/>
      <c r="AR34" s="322"/>
      <c r="AS34" s="307"/>
      <c r="AT34" s="307"/>
      <c r="AU34" s="307"/>
      <c r="AV34" s="278"/>
      <c r="AW34" s="307"/>
      <c r="AX34" s="307"/>
      <c r="AY34" s="307"/>
      <c r="AZ34" s="307"/>
      <c r="BA34" s="278"/>
      <c r="BB34" s="308"/>
      <c r="BC34" s="308"/>
      <c r="BD34" s="308"/>
      <c r="BE34" s="308"/>
      <c r="BF34" s="308"/>
      <c r="BG34" s="308"/>
      <c r="BK34" s="278"/>
      <c r="BL34" s="278"/>
      <c r="BM34" s="278"/>
      <c r="BN34" s="278"/>
      <c r="BO34" s="278"/>
      <c r="BP34" s="278"/>
      <c r="BQ34" s="278"/>
      <c r="BR34" s="278"/>
      <c r="BS34" s="278"/>
      <c r="BT34" s="278"/>
      <c r="BU34" s="278"/>
      <c r="BV34" s="278"/>
      <c r="BW34" s="278"/>
      <c r="BX34" s="278"/>
      <c r="BY34" s="278"/>
      <c r="BZ34" s="278"/>
      <c r="CA34" s="278"/>
      <c r="CB34" s="278"/>
    </row>
    <row r="35" spans="1:80" s="309" customFormat="1" ht="11.25" customHeight="1">
      <c r="A35" s="292"/>
      <c r="B35" s="292"/>
      <c r="C35" s="292"/>
      <c r="D35" s="292"/>
      <c r="E35" s="292"/>
      <c r="F35" s="292"/>
      <c r="G35" s="293"/>
      <c r="H35" s="310"/>
      <c r="I35" s="311"/>
      <c r="J35" s="312"/>
      <c r="K35" s="312"/>
      <c r="L35" s="312"/>
      <c r="M35" s="312"/>
      <c r="N35" s="312"/>
      <c r="O35" s="313"/>
      <c r="P35" s="314"/>
      <c r="Q35" s="315"/>
      <c r="R35" s="315"/>
      <c r="S35" s="315"/>
      <c r="T35" s="315"/>
      <c r="U35" s="315"/>
      <c r="V35" s="315"/>
      <c r="W35" s="316"/>
      <c r="X35" s="316"/>
      <c r="Y35" s="316"/>
      <c r="Z35" s="317"/>
      <c r="AA35" s="318"/>
      <c r="AB35" s="323"/>
      <c r="AC35" s="320"/>
      <c r="AD35" s="320"/>
      <c r="AE35" s="320"/>
      <c r="AF35" s="320"/>
      <c r="AG35" s="320"/>
      <c r="AH35" s="320"/>
      <c r="AI35" s="320"/>
      <c r="AJ35" s="320"/>
      <c r="AK35" s="320"/>
      <c r="AL35" s="320"/>
      <c r="AM35" s="320"/>
      <c r="AN35" s="320"/>
      <c r="AO35" s="320"/>
      <c r="AP35" s="320"/>
      <c r="AQ35" s="321"/>
      <c r="AR35" s="322"/>
      <c r="AS35" s="307"/>
      <c r="AT35" s="307"/>
      <c r="AU35" s="307"/>
      <c r="AV35" s="278"/>
      <c r="AW35" s="307"/>
      <c r="AX35" s="307"/>
      <c r="AY35" s="307"/>
      <c r="AZ35" s="307"/>
      <c r="BA35" s="278"/>
      <c r="BB35" s="308"/>
      <c r="BC35" s="308"/>
      <c r="BD35" s="308"/>
      <c r="BE35" s="308"/>
      <c r="BF35" s="308"/>
      <c r="BG35" s="308"/>
      <c r="BK35" s="278"/>
      <c r="BL35" s="278"/>
      <c r="BM35" s="278"/>
      <c r="BN35" s="278"/>
      <c r="BO35" s="278"/>
      <c r="BP35" s="278"/>
      <c r="BQ35" s="278"/>
      <c r="BR35" s="278"/>
      <c r="BS35" s="278"/>
      <c r="BT35" s="278"/>
      <c r="BU35" s="278"/>
      <c r="BV35" s="278"/>
      <c r="BW35" s="278"/>
      <c r="BX35" s="278"/>
      <c r="BY35" s="278"/>
      <c r="BZ35" s="278"/>
      <c r="CA35" s="278"/>
      <c r="CB35" s="278"/>
    </row>
    <row r="36" spans="1:80" s="309" customFormat="1" ht="11.25" customHeight="1">
      <c r="A36" s="292"/>
      <c r="B36" s="292"/>
      <c r="C36" s="292"/>
      <c r="D36" s="292"/>
      <c r="E36" s="292"/>
      <c r="F36" s="292"/>
      <c r="G36" s="293"/>
      <c r="H36" s="310"/>
      <c r="I36" s="311"/>
      <c r="J36" s="312"/>
      <c r="K36" s="312"/>
      <c r="L36" s="312"/>
      <c r="M36" s="312"/>
      <c r="N36" s="312"/>
      <c r="O36" s="313"/>
      <c r="P36" s="314"/>
      <c r="Q36" s="315"/>
      <c r="R36" s="315"/>
      <c r="S36" s="315"/>
      <c r="T36" s="315"/>
      <c r="U36" s="315"/>
      <c r="V36" s="315"/>
      <c r="W36" s="316"/>
      <c r="X36" s="316"/>
      <c r="Y36" s="316"/>
      <c r="Z36" s="317"/>
      <c r="AA36" s="318"/>
      <c r="AB36" s="323" t="s">
        <v>241</v>
      </c>
      <c r="AC36" s="320"/>
      <c r="AD36" s="320"/>
      <c r="AE36" s="320"/>
      <c r="AF36" s="320"/>
      <c r="AG36" s="320"/>
      <c r="AH36" s="320"/>
      <c r="AI36" s="320"/>
      <c r="AJ36" s="320"/>
      <c r="AK36" s="320"/>
      <c r="AL36" s="320"/>
      <c r="AM36" s="320"/>
      <c r="AN36" s="320"/>
      <c r="AO36" s="320"/>
      <c r="AP36" s="320"/>
      <c r="AQ36" s="321">
        <f t="shared" si="5"/>
        <v>0</v>
      </c>
      <c r="AR36" s="322">
        <f t="shared" si="4"/>
        <v>0</v>
      </c>
      <c r="AS36" s="307">
        <f t="shared" si="1"/>
        <v>0</v>
      </c>
      <c r="AT36" s="307">
        <f t="shared" si="1"/>
        <v>0</v>
      </c>
      <c r="AU36" s="307">
        <f t="shared" si="2"/>
        <v>0</v>
      </c>
      <c r="AV36" s="278"/>
      <c r="AW36" s="307">
        <f>+'[2]Metas'!S32:S50-S36</f>
        <v>1003271320</v>
      </c>
      <c r="AX36" s="307">
        <f>+'[2]Metas'!T32:T50-T36</f>
        <v>259357234</v>
      </c>
      <c r="AY36" s="307">
        <f>+'[2]Metas'!U32:U50-U36</f>
        <v>150149432</v>
      </c>
      <c r="AZ36" s="307">
        <f>+'[2]Metas'!V32:V50-V36</f>
        <v>150149432</v>
      </c>
      <c r="BA36" s="278"/>
      <c r="BB36" s="308"/>
      <c r="BC36" s="308"/>
      <c r="BD36" s="308"/>
      <c r="BE36" s="308"/>
      <c r="BF36" s="308"/>
      <c r="BG36" s="308"/>
      <c r="BK36" s="278"/>
      <c r="BL36" s="278"/>
      <c r="BM36" s="278"/>
      <c r="BN36" s="278"/>
      <c r="BO36" s="278"/>
      <c r="BP36" s="278"/>
      <c r="BQ36" s="278"/>
      <c r="BR36" s="278"/>
      <c r="BS36" s="278"/>
      <c r="BT36" s="278"/>
      <c r="BU36" s="278"/>
      <c r="BV36" s="278"/>
      <c r="BW36" s="278"/>
      <c r="BX36" s="278"/>
      <c r="BY36" s="278"/>
      <c r="BZ36" s="278"/>
      <c r="CA36" s="278"/>
      <c r="CB36" s="278"/>
    </row>
    <row r="37" spans="1:80" s="309" customFormat="1" ht="11.25" customHeight="1">
      <c r="A37" s="292"/>
      <c r="B37" s="292"/>
      <c r="C37" s="292"/>
      <c r="D37" s="292"/>
      <c r="E37" s="292"/>
      <c r="F37" s="292"/>
      <c r="G37" s="293"/>
      <c r="H37" s="310"/>
      <c r="I37" s="311"/>
      <c r="J37" s="312"/>
      <c r="K37" s="312"/>
      <c r="L37" s="312"/>
      <c r="M37" s="312"/>
      <c r="N37" s="312"/>
      <c r="O37" s="313"/>
      <c r="P37" s="314"/>
      <c r="Q37" s="315"/>
      <c r="R37" s="315"/>
      <c r="S37" s="315"/>
      <c r="T37" s="315"/>
      <c r="U37" s="315"/>
      <c r="V37" s="315"/>
      <c r="W37" s="316"/>
      <c r="X37" s="316"/>
      <c r="Y37" s="316"/>
      <c r="Z37" s="317"/>
      <c r="AA37" s="318"/>
      <c r="AB37" s="324" t="s">
        <v>242</v>
      </c>
      <c r="AC37" s="325">
        <f aca="true" t="shared" si="6" ref="AC37:AR37">SUM(AC27:AC36)+IF(AC25=0,AC26,AC25)</f>
        <v>0</v>
      </c>
      <c r="AD37" s="325">
        <f t="shared" si="6"/>
        <v>0</v>
      </c>
      <c r="AE37" s="325">
        <f t="shared" si="6"/>
        <v>0</v>
      </c>
      <c r="AF37" s="325">
        <f t="shared" si="6"/>
        <v>0</v>
      </c>
      <c r="AG37" s="325">
        <f t="shared" si="6"/>
        <v>0</v>
      </c>
      <c r="AH37" s="325">
        <f t="shared" si="6"/>
        <v>0</v>
      </c>
      <c r="AI37" s="325">
        <f t="shared" si="6"/>
        <v>0</v>
      </c>
      <c r="AJ37" s="325">
        <f t="shared" si="6"/>
        <v>0</v>
      </c>
      <c r="AK37" s="325">
        <f t="shared" si="6"/>
        <v>0</v>
      </c>
      <c r="AL37" s="325">
        <f t="shared" si="6"/>
        <v>0</v>
      </c>
      <c r="AM37" s="325">
        <f t="shared" si="6"/>
        <v>0</v>
      </c>
      <c r="AN37" s="325">
        <f t="shared" si="6"/>
        <v>0</v>
      </c>
      <c r="AO37" s="325">
        <f t="shared" si="6"/>
        <v>0</v>
      </c>
      <c r="AP37" s="325">
        <f t="shared" si="6"/>
        <v>0</v>
      </c>
      <c r="AQ37" s="325">
        <f t="shared" si="6"/>
        <v>0</v>
      </c>
      <c r="AR37" s="326">
        <f t="shared" si="6"/>
        <v>0</v>
      </c>
      <c r="AS37" s="307">
        <f t="shared" si="1"/>
        <v>0</v>
      </c>
      <c r="AT37" s="307">
        <f t="shared" si="1"/>
        <v>0</v>
      </c>
      <c r="AU37" s="307">
        <f t="shared" si="2"/>
        <v>0</v>
      </c>
      <c r="AV37" s="278"/>
      <c r="AW37" s="307">
        <f>+'[2]Metas'!S33:S51-S37</f>
        <v>0</v>
      </c>
      <c r="AX37" s="307">
        <f>+'[2]Metas'!T33:T51-T37</f>
        <v>0</v>
      </c>
      <c r="AY37" s="307">
        <f>+'[2]Metas'!U33:U51-U37</f>
        <v>0</v>
      </c>
      <c r="AZ37" s="307">
        <f>+'[2]Metas'!V33:V51-V37</f>
        <v>0</v>
      </c>
      <c r="BA37" s="278"/>
      <c r="BB37" s="308"/>
      <c r="BC37" s="308"/>
      <c r="BD37" s="308"/>
      <c r="BE37" s="308"/>
      <c r="BF37" s="308"/>
      <c r="BG37" s="308"/>
      <c r="BK37" s="278"/>
      <c r="BL37" s="278"/>
      <c r="BM37" s="278"/>
      <c r="BN37" s="278"/>
      <c r="BO37" s="278"/>
      <c r="BP37" s="278"/>
      <c r="BQ37" s="278"/>
      <c r="BR37" s="278"/>
      <c r="BS37" s="278"/>
      <c r="BT37" s="278"/>
      <c r="BU37" s="278"/>
      <c r="BV37" s="278"/>
      <c r="BW37" s="278"/>
      <c r="BX37" s="278"/>
      <c r="BY37" s="278"/>
      <c r="BZ37" s="278"/>
      <c r="CA37" s="278"/>
      <c r="CB37" s="278"/>
    </row>
    <row r="38" spans="1:80" s="309" customFormat="1" ht="11.25" customHeight="1">
      <c r="A38" s="292"/>
      <c r="B38" s="292"/>
      <c r="C38" s="292"/>
      <c r="D38" s="292"/>
      <c r="E38" s="292"/>
      <c r="F38" s="292"/>
      <c r="G38" s="293"/>
      <c r="H38" s="310"/>
      <c r="I38" s="311"/>
      <c r="J38" s="312"/>
      <c r="K38" s="312"/>
      <c r="L38" s="312"/>
      <c r="M38" s="312"/>
      <c r="N38" s="312"/>
      <c r="O38" s="313"/>
      <c r="P38" s="314"/>
      <c r="Q38" s="315"/>
      <c r="R38" s="315"/>
      <c r="S38" s="315"/>
      <c r="T38" s="315"/>
      <c r="U38" s="315"/>
      <c r="V38" s="315"/>
      <c r="W38" s="316"/>
      <c r="X38" s="316"/>
      <c r="Y38" s="316"/>
      <c r="Z38" s="317"/>
      <c r="AA38" s="318"/>
      <c r="AB38" s="327"/>
      <c r="AC38" s="328"/>
      <c r="AD38" s="328"/>
      <c r="AE38" s="328"/>
      <c r="AF38" s="328"/>
      <c r="AG38" s="328"/>
      <c r="AH38" s="328"/>
      <c r="AI38" s="328"/>
      <c r="AJ38" s="328"/>
      <c r="AK38" s="328"/>
      <c r="AL38" s="328"/>
      <c r="AM38" s="328"/>
      <c r="AN38" s="328"/>
      <c r="AO38" s="328"/>
      <c r="AP38" s="328"/>
      <c r="AQ38" s="328"/>
      <c r="AR38" s="329"/>
      <c r="AS38" s="307"/>
      <c r="AT38" s="307"/>
      <c r="AU38" s="307"/>
      <c r="AV38" s="278"/>
      <c r="AW38" s="307"/>
      <c r="AX38" s="307"/>
      <c r="AY38" s="307"/>
      <c r="AZ38" s="307"/>
      <c r="BA38" s="278"/>
      <c r="BB38" s="308"/>
      <c r="BC38" s="308"/>
      <c r="BD38" s="308"/>
      <c r="BE38" s="308"/>
      <c r="BF38" s="308"/>
      <c r="BG38" s="308"/>
      <c r="BK38" s="278"/>
      <c r="BL38" s="278"/>
      <c r="BM38" s="278"/>
      <c r="BN38" s="278"/>
      <c r="BO38" s="278"/>
      <c r="BP38" s="278"/>
      <c r="BQ38" s="278"/>
      <c r="BR38" s="278"/>
      <c r="BS38" s="278"/>
      <c r="BT38" s="278"/>
      <c r="BU38" s="278"/>
      <c r="BV38" s="278"/>
      <c r="BW38" s="278"/>
      <c r="BX38" s="278"/>
      <c r="BY38" s="278"/>
      <c r="BZ38" s="278"/>
      <c r="CA38" s="278"/>
      <c r="CB38" s="278"/>
    </row>
    <row r="39" spans="1:80" s="309" customFormat="1" ht="15.75" customHeight="1" thickBot="1">
      <c r="A39" s="292"/>
      <c r="B39" s="292"/>
      <c r="C39" s="292"/>
      <c r="D39" s="292"/>
      <c r="E39" s="292"/>
      <c r="F39" s="292"/>
      <c r="G39" s="293"/>
      <c r="H39" s="330"/>
      <c r="I39" s="331"/>
      <c r="J39" s="332"/>
      <c r="K39" s="332"/>
      <c r="L39" s="332"/>
      <c r="M39" s="332"/>
      <c r="N39" s="332"/>
      <c r="O39" s="333"/>
      <c r="P39" s="334"/>
      <c r="Q39" s="335"/>
      <c r="R39" s="335"/>
      <c r="S39" s="335"/>
      <c r="T39" s="335"/>
      <c r="U39" s="335"/>
      <c r="V39" s="335"/>
      <c r="W39" s="336"/>
      <c r="X39" s="336"/>
      <c r="Y39" s="336"/>
      <c r="Z39" s="337"/>
      <c r="AA39" s="338"/>
      <c r="AB39" s="339" t="s">
        <v>243</v>
      </c>
      <c r="AC39" s="340"/>
      <c r="AD39" s="340"/>
      <c r="AE39" s="340"/>
      <c r="AF39" s="340"/>
      <c r="AG39" s="340"/>
      <c r="AH39" s="340"/>
      <c r="AI39" s="340"/>
      <c r="AJ39" s="340"/>
      <c r="AK39" s="340"/>
      <c r="AL39" s="340"/>
      <c r="AM39" s="340"/>
      <c r="AN39" s="340"/>
      <c r="AO39" s="340"/>
      <c r="AP39" s="340"/>
      <c r="AQ39" s="341">
        <f>+AC39+AE39+AG39+AI39+AK39+AM39+AO39</f>
        <v>0</v>
      </c>
      <c r="AR39" s="342">
        <f>+AD39+AF39+AH39+AJ39+AL39+AN39+AP39</f>
        <v>0</v>
      </c>
      <c r="AS39" s="307">
        <f t="shared" si="1"/>
        <v>0</v>
      </c>
      <c r="AT39" s="307">
        <f t="shared" si="1"/>
        <v>0</v>
      </c>
      <c r="AU39" s="307">
        <f t="shared" si="2"/>
        <v>0</v>
      </c>
      <c r="AV39" s="278"/>
      <c r="AW39" s="307">
        <f>+'[2]Metas'!S34:S52-S39</f>
        <v>0</v>
      </c>
      <c r="AX39" s="307">
        <f>+'[2]Metas'!T34:T52-T39</f>
        <v>0</v>
      </c>
      <c r="AY39" s="307">
        <f>+'[2]Metas'!U34:U52-U39</f>
        <v>0</v>
      </c>
      <c r="AZ39" s="307">
        <f>+'[2]Metas'!V34:V52-V39</f>
        <v>0</v>
      </c>
      <c r="BA39" s="278"/>
      <c r="BB39" s="308"/>
      <c r="BC39" s="308"/>
      <c r="BD39" s="308"/>
      <c r="BE39" s="308"/>
      <c r="BF39" s="308"/>
      <c r="BG39" s="308"/>
      <c r="BK39" s="278"/>
      <c r="BL39" s="278"/>
      <c r="BM39" s="278"/>
      <c r="BN39" s="278"/>
      <c r="BO39" s="278"/>
      <c r="BP39" s="278"/>
      <c r="BQ39" s="278"/>
      <c r="BR39" s="278"/>
      <c r="BS39" s="278"/>
      <c r="BT39" s="278"/>
      <c r="BU39" s="278"/>
      <c r="BV39" s="278"/>
      <c r="BW39" s="278"/>
      <c r="BX39" s="278"/>
      <c r="BY39" s="278"/>
      <c r="BZ39" s="278"/>
      <c r="CA39" s="278"/>
      <c r="CB39" s="278"/>
    </row>
    <row r="40" spans="7:59" ht="11.25">
      <c r="G40" s="343"/>
      <c r="H40" s="344"/>
      <c r="I40" s="343"/>
      <c r="J40" s="343"/>
      <c r="K40" s="343"/>
      <c r="L40" s="343"/>
      <c r="M40" s="343"/>
      <c r="N40" s="343"/>
      <c r="O40" s="343"/>
      <c r="P40" s="345"/>
      <c r="Q40" s="346">
        <f aca="true" t="shared" si="7" ref="Q40:V40">SUBTOTAL(9,Q19:Q39)</f>
        <v>1000407000</v>
      </c>
      <c r="R40" s="346">
        <f t="shared" si="7"/>
        <v>965391000</v>
      </c>
      <c r="S40" s="346">
        <f t="shared" si="7"/>
        <v>710008000</v>
      </c>
      <c r="T40" s="346">
        <f t="shared" si="7"/>
        <v>93421234</v>
      </c>
      <c r="U40" s="346">
        <f t="shared" si="7"/>
        <v>106777267</v>
      </c>
      <c r="V40" s="346">
        <f t="shared" si="7"/>
        <v>84063667</v>
      </c>
      <c r="W40" s="343"/>
      <c r="X40" s="343"/>
      <c r="Y40" s="343"/>
      <c r="Z40" s="343"/>
      <c r="AA40" s="343"/>
      <c r="AB40" s="344"/>
      <c r="AC40" s="344"/>
      <c r="AD40" s="344"/>
      <c r="AE40" s="344"/>
      <c r="AF40" s="344"/>
      <c r="AG40" s="344"/>
      <c r="AH40" s="344"/>
      <c r="AI40" s="344"/>
      <c r="AJ40" s="344"/>
      <c r="AK40" s="344"/>
      <c r="AL40" s="344"/>
      <c r="AM40" s="344"/>
      <c r="AN40" s="344"/>
      <c r="AO40" s="344"/>
      <c r="AP40" s="344"/>
      <c r="AQ40" s="344"/>
      <c r="AR40" s="344"/>
      <c r="AS40" s="307">
        <f t="shared" si="1"/>
        <v>255383000</v>
      </c>
      <c r="AT40" s="307">
        <f t="shared" si="1"/>
        <v>616586766</v>
      </c>
      <c r="AU40" s="307">
        <f t="shared" si="2"/>
        <v>22713600</v>
      </c>
      <c r="AV40" s="278"/>
      <c r="AW40" s="307">
        <f>+'[2]Metas'!S35:S53-S40</f>
        <v>-710008000</v>
      </c>
      <c r="AX40" s="307">
        <f>+'[2]Metas'!T35:T53-T40</f>
        <v>-93421234</v>
      </c>
      <c r="AY40" s="307">
        <f>+'[2]Metas'!U35:U53-U40</f>
        <v>-106777267</v>
      </c>
      <c r="AZ40" s="307">
        <f>+'[2]Metas'!V35:V53-V40</f>
        <v>-84063667</v>
      </c>
      <c r="BA40" s="278"/>
      <c r="BB40" s="346">
        <f aca="true" t="shared" si="8" ref="BB40:BG40">SUBTOTAL(9,BB19:BB39)</f>
        <v>1000407000</v>
      </c>
      <c r="BC40" s="346">
        <f t="shared" si="8"/>
        <v>965391000</v>
      </c>
      <c r="BD40" s="346">
        <f t="shared" si="8"/>
        <v>710008000</v>
      </c>
      <c r="BE40" s="346">
        <f t="shared" si="8"/>
        <v>93421234</v>
      </c>
      <c r="BF40" s="346">
        <f t="shared" si="8"/>
        <v>106777267</v>
      </c>
      <c r="BG40" s="346">
        <f t="shared" si="8"/>
        <v>84063667</v>
      </c>
    </row>
    <row r="41" spans="17:59" ht="11.25">
      <c r="Q41" s="347"/>
      <c r="R41" s="347"/>
      <c r="S41" s="347"/>
      <c r="T41" s="347"/>
      <c r="U41" s="347"/>
      <c r="V41" s="347"/>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308"/>
      <c r="BD41" s="308"/>
      <c r="BE41" s="308"/>
      <c r="BF41" s="308"/>
      <c r="BG41" s="308"/>
    </row>
    <row r="42" spans="17:54" ht="11.25">
      <c r="Q42" s="348"/>
      <c r="R42" s="348"/>
      <c r="S42" s="348"/>
      <c r="T42" s="348"/>
      <c r="U42" s="348"/>
      <c r="V42" s="34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row>
    <row r="43" spans="20:54" ht="11.25">
      <c r="T43" s="349"/>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row>
    <row r="44" spans="18:54" ht="11.25">
      <c r="R44" s="350"/>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row>
    <row r="45" spans="28:54" ht="11.25">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row>
    <row r="46" spans="18:54" ht="11.25">
      <c r="R46" s="351"/>
      <c r="S46" s="352"/>
      <c r="T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row>
    <row r="47" spans="18:54" ht="11.25">
      <c r="R47" s="351"/>
      <c r="S47" s="352"/>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row>
    <row r="48" spans="18:54" ht="11.25">
      <c r="R48" s="351"/>
      <c r="S48" s="352"/>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row>
    <row r="49" spans="18:54" ht="11.25">
      <c r="R49" s="351"/>
      <c r="S49" s="352"/>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row>
    <row r="50" spans="18:54" ht="11.25">
      <c r="R50" s="351"/>
      <c r="S50" s="352"/>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row>
    <row r="51" spans="18:54" ht="11.25">
      <c r="R51" s="351"/>
      <c r="S51" s="352"/>
      <c r="U51" s="350"/>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row>
    <row r="52" spans="18:54" ht="11.25">
      <c r="R52" s="351"/>
      <c r="S52" s="352"/>
      <c r="U52" s="350"/>
      <c r="V52" s="353"/>
      <c r="X52" s="354"/>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row>
    <row r="53" spans="18:54" ht="11.25">
      <c r="R53" s="351"/>
      <c r="U53" s="350"/>
      <c r="V53" s="353"/>
      <c r="X53" s="354"/>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row>
    <row r="54" spans="18:54" ht="11.25">
      <c r="R54" s="351"/>
      <c r="U54" s="350"/>
      <c r="V54" s="353"/>
      <c r="X54" s="354"/>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row>
    <row r="55" spans="18:54" ht="11.25">
      <c r="R55" s="351"/>
      <c r="U55" s="350"/>
      <c r="V55" s="353"/>
      <c r="X55" s="354"/>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row>
    <row r="56" spans="21:54" ht="11.25">
      <c r="U56" s="350"/>
      <c r="V56" s="353"/>
      <c r="X56" s="354"/>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row>
    <row r="57" spans="21:54" ht="11.25">
      <c r="U57" s="350"/>
      <c r="V57" s="353"/>
      <c r="X57" s="354"/>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row>
    <row r="58" spans="21:54" ht="11.25">
      <c r="U58" s="350"/>
      <c r="V58" s="353"/>
      <c r="W58" s="355"/>
      <c r="X58" s="354"/>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row>
    <row r="59" spans="21:54" ht="11.25">
      <c r="U59" s="350"/>
      <c r="V59" s="353"/>
      <c r="W59" s="355"/>
      <c r="X59" s="354"/>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row>
    <row r="60" spans="18:54" ht="11.25">
      <c r="R60" s="350"/>
      <c r="U60" s="350"/>
      <c r="V60" s="353"/>
      <c r="W60" s="355"/>
      <c r="X60" s="354"/>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row>
    <row r="61" spans="21:54" ht="11.25">
      <c r="U61" s="350"/>
      <c r="V61" s="353"/>
      <c r="W61" s="355"/>
      <c r="X61" s="354"/>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row>
    <row r="62" spans="21:54" ht="11.25">
      <c r="U62" s="350"/>
      <c r="V62" s="353"/>
      <c r="W62" s="355"/>
      <c r="X62" s="354"/>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row>
    <row r="63" spans="18:54" ht="11.25">
      <c r="R63" s="356"/>
      <c r="U63" s="350"/>
      <c r="V63" s="353"/>
      <c r="W63" s="355"/>
      <c r="X63" s="354"/>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row>
    <row r="64" spans="21:54" ht="11.25">
      <c r="U64" s="350"/>
      <c r="V64" s="353"/>
      <c r="W64" s="355"/>
      <c r="X64" s="354"/>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row>
    <row r="65" spans="21:54" ht="11.25">
      <c r="U65" s="350"/>
      <c r="V65" s="353"/>
      <c r="W65" s="355"/>
      <c r="X65" s="354"/>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row>
    <row r="66" spans="21:54" ht="11.25">
      <c r="U66" s="350"/>
      <c r="V66" s="353"/>
      <c r="W66" s="355"/>
      <c r="X66" s="354"/>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row>
    <row r="67" spans="21:54" ht="11.25">
      <c r="U67" s="350"/>
      <c r="V67" s="353"/>
      <c r="W67" s="355"/>
      <c r="X67" s="354"/>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row>
    <row r="68" spans="21:54" ht="11.25">
      <c r="U68" s="350"/>
      <c r="V68" s="353"/>
      <c r="W68" s="355"/>
      <c r="X68" s="354"/>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row>
    <row r="69" spans="21:54" ht="11.25">
      <c r="U69" s="350"/>
      <c r="V69" s="353"/>
      <c r="W69" s="355"/>
      <c r="X69" s="354"/>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row>
    <row r="70" spans="28:54" ht="11.25">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row>
    <row r="71" spans="18:54" ht="11.25">
      <c r="R71" s="356"/>
      <c r="U71" s="355"/>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row>
    <row r="72" spans="21:54" ht="11.25">
      <c r="U72" s="355"/>
      <c r="V72" s="353"/>
      <c r="W72" s="350"/>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row>
    <row r="73" spans="21:54" ht="11.25">
      <c r="U73" s="355"/>
      <c r="V73" s="353"/>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row>
    <row r="74" spans="21:54" ht="11.25">
      <c r="U74" s="355"/>
      <c r="V74" s="353"/>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row>
    <row r="75" spans="21:54" ht="11.25">
      <c r="U75" s="355"/>
      <c r="V75" s="353"/>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row>
    <row r="76" spans="18:54" ht="11.25">
      <c r="R76" s="350"/>
      <c r="U76" s="355"/>
      <c r="V76" s="353"/>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row>
    <row r="77" spans="21:54" ht="11.25">
      <c r="U77" s="355"/>
      <c r="V77" s="353"/>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row>
    <row r="78" spans="21:54" ht="11.25">
      <c r="U78" s="350"/>
      <c r="V78" s="353"/>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row>
    <row r="79" spans="28:54" ht="11.25">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row>
    <row r="80" spans="18:54" ht="11.25">
      <c r="R80" s="356"/>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row>
    <row r="81" spans="21:54" ht="11.25">
      <c r="U81" s="355"/>
      <c r="V81" s="353"/>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row>
    <row r="82" spans="21:54" ht="11.25">
      <c r="U82" s="355"/>
      <c r="V82" s="353"/>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row>
    <row r="83" spans="21:54" ht="11.25">
      <c r="U83" s="355"/>
      <c r="V83" s="353"/>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row>
    <row r="84" spans="21:54" ht="11.25">
      <c r="U84" s="355"/>
      <c r="V84" s="353"/>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row>
    <row r="85" spans="21:54" ht="11.25">
      <c r="U85" s="355"/>
      <c r="V85" s="353"/>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row>
    <row r="86" spans="21:54" ht="11.25">
      <c r="U86" s="355"/>
      <c r="V86" s="353"/>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row>
    <row r="87" spans="22:54" ht="11.25">
      <c r="V87" s="353"/>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row>
    <row r="88" spans="28:54" ht="11.25">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row>
    <row r="89" spans="18:54" ht="11.25">
      <c r="R89" s="356"/>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c r="AZ89" s="278"/>
      <c r="BA89" s="278"/>
      <c r="BB89" s="278"/>
    </row>
    <row r="90" spans="21:54" ht="11.25">
      <c r="U90" s="355"/>
      <c r="V90" s="353"/>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c r="BB90" s="278"/>
    </row>
    <row r="91" spans="21:54" ht="11.25">
      <c r="U91" s="355"/>
      <c r="V91" s="353"/>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row>
    <row r="92" spans="21:54" ht="11.25">
      <c r="U92" s="355"/>
      <c r="V92" s="353"/>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c r="BB92" s="278"/>
    </row>
    <row r="93" spans="21:54" ht="11.25">
      <c r="U93" s="355"/>
      <c r="V93" s="353"/>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c r="BB93" s="278"/>
    </row>
    <row r="94" spans="21:54" ht="11.25">
      <c r="U94" s="355"/>
      <c r="V94" s="353"/>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row>
    <row r="95" spans="21:54" ht="11.25">
      <c r="U95" s="355"/>
      <c r="V95" s="353"/>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row>
    <row r="96" spans="21:54" ht="11.25">
      <c r="U96" s="350"/>
      <c r="V96" s="353"/>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row>
    <row r="97" spans="28:54" ht="11.25">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row>
    <row r="98" spans="18:54" ht="11.25">
      <c r="R98" s="356"/>
      <c r="U98" s="355"/>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c r="BB98" s="278"/>
    </row>
    <row r="99" spans="21:54" ht="11.25">
      <c r="U99" s="355"/>
      <c r="V99" s="353"/>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c r="BB99" s="278"/>
    </row>
    <row r="100" spans="21:54" ht="11.25">
      <c r="U100" s="355"/>
      <c r="V100" s="353"/>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8"/>
      <c r="AZ100" s="278"/>
      <c r="BA100" s="278"/>
      <c r="BB100" s="278"/>
    </row>
    <row r="101" spans="21:54" ht="11.25">
      <c r="U101" s="355"/>
      <c r="V101" s="353"/>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row>
    <row r="102" spans="21:54" ht="11.25">
      <c r="U102" s="355"/>
      <c r="V102" s="353"/>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row>
    <row r="103" spans="21:54" ht="11.25">
      <c r="U103" s="355"/>
      <c r="V103" s="353"/>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row>
    <row r="104" spans="21:54" ht="11.25">
      <c r="U104" s="355"/>
      <c r="V104" s="353"/>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78"/>
      <c r="AW104" s="278"/>
      <c r="AX104" s="278"/>
      <c r="AY104" s="278"/>
      <c r="AZ104" s="278"/>
      <c r="BA104" s="278"/>
      <c r="BB104" s="278"/>
    </row>
    <row r="105" spans="21:54" ht="11.25">
      <c r="U105" s="355"/>
      <c r="V105" s="353"/>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row>
    <row r="106" spans="22:54" ht="11.25">
      <c r="V106" s="353"/>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78"/>
      <c r="AW106" s="278"/>
      <c r="AX106" s="278"/>
      <c r="AY106" s="278"/>
      <c r="AZ106" s="278"/>
      <c r="BA106" s="278"/>
      <c r="BB106" s="278"/>
    </row>
    <row r="107" spans="18:54" ht="11.25">
      <c r="R107" s="356"/>
      <c r="U107" s="355"/>
      <c r="AB107" s="278"/>
      <c r="AC107" s="278"/>
      <c r="AD107" s="278"/>
      <c r="AE107" s="278"/>
      <c r="AF107" s="278"/>
      <c r="AG107" s="278"/>
      <c r="AH107" s="278"/>
      <c r="AI107" s="278"/>
      <c r="AJ107" s="278"/>
      <c r="AK107" s="278"/>
      <c r="AL107" s="278"/>
      <c r="AM107" s="278"/>
      <c r="AN107" s="278"/>
      <c r="AO107" s="278"/>
      <c r="AP107" s="278"/>
      <c r="AQ107" s="278"/>
      <c r="AR107" s="278"/>
      <c r="AS107" s="278"/>
      <c r="AT107" s="278"/>
      <c r="AU107" s="278"/>
      <c r="AV107" s="278"/>
      <c r="AW107" s="278"/>
      <c r="AX107" s="278"/>
      <c r="AY107" s="278"/>
      <c r="AZ107" s="278"/>
      <c r="BA107" s="278"/>
      <c r="BB107" s="278"/>
    </row>
    <row r="108" spans="18:22" ht="11.25">
      <c r="R108" s="350"/>
      <c r="U108" s="355"/>
      <c r="V108" s="353"/>
    </row>
    <row r="109" spans="21:22" ht="11.25">
      <c r="U109" s="355"/>
      <c r="V109" s="353"/>
    </row>
    <row r="110" spans="21:22" ht="11.25">
      <c r="U110" s="355"/>
      <c r="V110" s="353"/>
    </row>
    <row r="111" spans="21:22" ht="11.25">
      <c r="U111" s="355"/>
      <c r="V111" s="353"/>
    </row>
    <row r="112" spans="21:22" ht="11.25">
      <c r="U112" s="355"/>
      <c r="V112" s="353"/>
    </row>
    <row r="113" spans="21:22" ht="11.25">
      <c r="U113" s="355"/>
      <c r="V113" s="353"/>
    </row>
    <row r="114" spans="21:22" ht="11.25">
      <c r="U114" s="355"/>
      <c r="V114" s="353"/>
    </row>
    <row r="117" spans="18:21" ht="11.25">
      <c r="R117" s="356"/>
      <c r="U117" s="355"/>
    </row>
    <row r="118" spans="21:22" ht="11.25">
      <c r="U118" s="355"/>
      <c r="V118" s="350"/>
    </row>
    <row r="119" spans="21:22" ht="11.25">
      <c r="U119" s="355"/>
      <c r="V119" s="350"/>
    </row>
    <row r="120" spans="21:22" ht="11.25">
      <c r="U120" s="355"/>
      <c r="V120" s="350"/>
    </row>
    <row r="121" spans="21:22" ht="11.25">
      <c r="U121" s="355"/>
      <c r="V121" s="350"/>
    </row>
    <row r="122" spans="21:22" ht="11.25">
      <c r="U122" s="355"/>
      <c r="V122" s="350"/>
    </row>
    <row r="123" spans="21:22" ht="11.25">
      <c r="U123" s="355"/>
      <c r="V123" s="350"/>
    </row>
    <row r="124" spans="18:22" ht="11.25">
      <c r="R124" s="350"/>
      <c r="U124" s="355"/>
      <c r="V124" s="350"/>
    </row>
    <row r="126" ht="11.25">
      <c r="R126" s="350"/>
    </row>
    <row r="127" spans="18:21" ht="11.25">
      <c r="R127" s="356"/>
      <c r="U127" s="355"/>
    </row>
    <row r="128" spans="21:22" ht="11.25">
      <c r="U128" s="355"/>
      <c r="V128" s="350"/>
    </row>
    <row r="129" spans="21:22" ht="11.25">
      <c r="U129" s="355"/>
      <c r="V129" s="350"/>
    </row>
    <row r="130" spans="21:22" ht="11.25">
      <c r="U130" s="355"/>
      <c r="V130" s="350"/>
    </row>
    <row r="131" spans="21:22" ht="11.25">
      <c r="U131" s="355"/>
      <c r="V131" s="350"/>
    </row>
    <row r="132" spans="21:22" ht="11.25">
      <c r="U132" s="355"/>
      <c r="V132" s="350"/>
    </row>
    <row r="133" spans="21:22" ht="11.25">
      <c r="U133" s="355"/>
      <c r="V133" s="350"/>
    </row>
    <row r="134" spans="21:22" ht="11.25">
      <c r="U134" s="355"/>
      <c r="V134" s="350"/>
    </row>
    <row r="135" ht="11.25">
      <c r="U135" s="350"/>
    </row>
    <row r="136" spans="18:21" ht="11.25">
      <c r="R136" s="356"/>
      <c r="U136" s="355"/>
    </row>
    <row r="137" spans="21:22" ht="11.25">
      <c r="U137" s="355"/>
      <c r="V137" s="350"/>
    </row>
    <row r="138" spans="21:22" ht="11.25">
      <c r="U138" s="355"/>
      <c r="V138" s="350"/>
    </row>
    <row r="139" spans="21:22" ht="11.25">
      <c r="U139" s="355"/>
      <c r="V139" s="350"/>
    </row>
    <row r="140" spans="21:22" ht="11.25">
      <c r="U140" s="355"/>
      <c r="V140" s="350"/>
    </row>
    <row r="141" spans="21:22" ht="11.25">
      <c r="U141" s="355"/>
      <c r="V141" s="350"/>
    </row>
    <row r="142" spans="21:22" ht="11.25">
      <c r="U142" s="355"/>
      <c r="V142" s="350"/>
    </row>
    <row r="143" spans="21:22" ht="11.25">
      <c r="U143" s="355"/>
      <c r="V143" s="350"/>
    </row>
    <row r="145" spans="18:21" ht="11.25">
      <c r="R145" s="356"/>
      <c r="U145" s="355"/>
    </row>
    <row r="146" spans="21:22" ht="11.25">
      <c r="U146" s="355"/>
      <c r="V146" s="350"/>
    </row>
    <row r="147" spans="21:22" ht="11.25">
      <c r="U147" s="355"/>
      <c r="V147" s="350"/>
    </row>
    <row r="148" spans="21:22" ht="11.25">
      <c r="U148" s="355"/>
      <c r="V148" s="350"/>
    </row>
    <row r="149" spans="21:22" ht="11.25">
      <c r="U149" s="355"/>
      <c r="V149" s="350"/>
    </row>
    <row r="150" spans="21:22" ht="11.25">
      <c r="U150" s="355"/>
      <c r="V150" s="350"/>
    </row>
    <row r="151" spans="21:22" ht="11.25">
      <c r="U151" s="355"/>
      <c r="V151" s="350"/>
    </row>
    <row r="152" spans="21:22" ht="11.25">
      <c r="U152" s="355"/>
      <c r="V152" s="350"/>
    </row>
    <row r="153" spans="21:22" ht="11.25">
      <c r="U153" s="355"/>
      <c r="V153" s="350"/>
    </row>
    <row r="154" spans="21:22" ht="11.25">
      <c r="U154" s="355"/>
      <c r="V154" s="350"/>
    </row>
    <row r="155" spans="21:22" ht="11.25">
      <c r="U155" s="350"/>
      <c r="V155" s="353"/>
    </row>
    <row r="156" spans="21:22" ht="11.25">
      <c r="U156" s="350"/>
      <c r="V156" s="353"/>
    </row>
    <row r="157" spans="18:22" ht="11.25">
      <c r="R157" s="356"/>
      <c r="U157" s="350"/>
      <c r="V157" s="353"/>
    </row>
    <row r="158" spans="21:22" ht="11.25">
      <c r="U158" s="350"/>
      <c r="V158" s="353"/>
    </row>
    <row r="159" spans="21:22" ht="11.25">
      <c r="U159" s="350"/>
      <c r="V159" s="353"/>
    </row>
    <row r="160" spans="21:22" ht="11.25">
      <c r="U160" s="350"/>
      <c r="V160" s="353"/>
    </row>
    <row r="161" spans="21:22" ht="11.25">
      <c r="U161" s="350"/>
      <c r="V161" s="353"/>
    </row>
    <row r="162" spans="21:22" ht="11.25">
      <c r="U162" s="350"/>
      <c r="V162" s="353"/>
    </row>
    <row r="163" spans="21:22" ht="11.25">
      <c r="U163" s="355"/>
      <c r="V163" s="350"/>
    </row>
    <row r="164" spans="21:22" ht="11.25">
      <c r="U164" s="355"/>
      <c r="V164" s="350"/>
    </row>
    <row r="165" spans="21:22" ht="11.25">
      <c r="U165" s="350"/>
      <c r="V165" s="353"/>
    </row>
    <row r="166" spans="21:22" ht="11.25">
      <c r="U166" s="350"/>
      <c r="V166" s="353"/>
    </row>
    <row r="167" spans="18:22" ht="11.25">
      <c r="R167" s="356"/>
      <c r="U167" s="350"/>
      <c r="V167" s="353"/>
    </row>
    <row r="168" spans="21:22" ht="11.25">
      <c r="U168" s="350"/>
      <c r="V168" s="353"/>
    </row>
    <row r="169" spans="21:22" ht="11.25">
      <c r="U169" s="350"/>
      <c r="V169" s="353"/>
    </row>
    <row r="170" spans="21:22" ht="11.25">
      <c r="U170" s="350"/>
      <c r="V170" s="353"/>
    </row>
    <row r="171" spans="21:22" ht="11.25">
      <c r="U171" s="350"/>
      <c r="V171" s="353"/>
    </row>
    <row r="172" spans="21:22" ht="11.25">
      <c r="U172" s="350"/>
      <c r="V172" s="353"/>
    </row>
    <row r="173" spans="21:22" ht="11.25">
      <c r="U173" s="355"/>
      <c r="V173" s="350"/>
    </row>
    <row r="174" spans="21:22" ht="11.25">
      <c r="U174" s="355"/>
      <c r="V174" s="350"/>
    </row>
    <row r="177" spans="18:21" ht="11.25">
      <c r="R177" s="356"/>
      <c r="U177" s="355"/>
    </row>
    <row r="178" spans="18:22" ht="11.25">
      <c r="R178" s="356"/>
      <c r="U178" s="355"/>
      <c r="V178" s="350"/>
    </row>
    <row r="179" spans="18:22" ht="11.25">
      <c r="R179" s="356"/>
      <c r="U179" s="355"/>
      <c r="V179" s="350"/>
    </row>
    <row r="180" spans="18:22" ht="11.25">
      <c r="R180" s="356"/>
      <c r="U180" s="355"/>
      <c r="V180" s="350"/>
    </row>
    <row r="181" spans="18:22" ht="11.25">
      <c r="R181" s="356"/>
      <c r="U181" s="355"/>
      <c r="V181" s="350"/>
    </row>
    <row r="182" spans="18:22" ht="11.25">
      <c r="R182" s="356"/>
      <c r="U182" s="355"/>
      <c r="V182" s="350"/>
    </row>
    <row r="183" spans="18:22" ht="11.25">
      <c r="R183" s="356"/>
      <c r="U183" s="355"/>
      <c r="V183" s="350"/>
    </row>
    <row r="184" spans="18:22" ht="11.25">
      <c r="R184" s="356"/>
      <c r="U184" s="355"/>
      <c r="V184" s="350"/>
    </row>
    <row r="185" ht="11.25">
      <c r="R185" s="356"/>
    </row>
    <row r="186" ht="11.25">
      <c r="R186" s="356"/>
    </row>
    <row r="187" spans="18:21" ht="11.25">
      <c r="R187" s="356"/>
      <c r="U187" s="355"/>
    </row>
    <row r="188" spans="18:22" ht="11.25">
      <c r="R188" s="356"/>
      <c r="U188" s="355"/>
      <c r="V188" s="350"/>
    </row>
    <row r="189" spans="18:22" ht="11.25">
      <c r="R189" s="356"/>
      <c r="U189" s="355"/>
      <c r="V189" s="350"/>
    </row>
    <row r="190" spans="18:22" ht="11.25">
      <c r="R190" s="356"/>
      <c r="U190" s="355"/>
      <c r="V190" s="350"/>
    </row>
    <row r="191" spans="18:22" ht="11.25">
      <c r="R191" s="356"/>
      <c r="U191" s="355"/>
      <c r="V191" s="350"/>
    </row>
    <row r="192" spans="18:22" ht="11.25">
      <c r="R192" s="356"/>
      <c r="U192" s="355"/>
      <c r="V192" s="350"/>
    </row>
    <row r="193" spans="18:22" ht="11.25">
      <c r="R193" s="356"/>
      <c r="U193" s="355"/>
      <c r="V193" s="350"/>
    </row>
    <row r="194" spans="18:22" ht="11.25">
      <c r="R194" s="356"/>
      <c r="U194" s="355"/>
      <c r="V194" s="350"/>
    </row>
    <row r="195" ht="11.25">
      <c r="R195" s="356"/>
    </row>
    <row r="196" ht="11.25">
      <c r="R196" s="356"/>
    </row>
    <row r="197" spans="18:21" ht="11.25">
      <c r="R197" s="356"/>
      <c r="U197" s="355"/>
    </row>
    <row r="198" spans="18:22" ht="11.25">
      <c r="R198" s="356"/>
      <c r="U198" s="355"/>
      <c r="V198" s="350"/>
    </row>
    <row r="199" spans="18:22" ht="11.25">
      <c r="R199" s="356"/>
      <c r="U199" s="355"/>
      <c r="V199" s="350"/>
    </row>
    <row r="200" spans="18:22" ht="11.25">
      <c r="R200" s="356"/>
      <c r="U200" s="355"/>
      <c r="V200" s="350"/>
    </row>
    <row r="201" spans="18:22" ht="11.25">
      <c r="R201" s="356"/>
      <c r="U201" s="355"/>
      <c r="V201" s="350"/>
    </row>
    <row r="202" spans="18:22" ht="11.25">
      <c r="R202" s="356"/>
      <c r="U202" s="355"/>
      <c r="V202" s="350"/>
    </row>
    <row r="203" spans="18:22" ht="11.25">
      <c r="R203" s="356"/>
      <c r="U203" s="355"/>
      <c r="V203" s="350"/>
    </row>
    <row r="204" spans="18:22" ht="11.25">
      <c r="R204" s="356"/>
      <c r="U204" s="355"/>
      <c r="V204" s="350"/>
    </row>
    <row r="205" ht="11.25">
      <c r="R205" s="356"/>
    </row>
    <row r="206" ht="11.25">
      <c r="R206" s="356"/>
    </row>
    <row r="207" spans="18:21" ht="11.25">
      <c r="R207" s="356"/>
      <c r="U207" s="355"/>
    </row>
    <row r="208" spans="21:22" ht="11.25">
      <c r="U208" s="355"/>
      <c r="V208" s="350"/>
    </row>
    <row r="209" spans="21:22" ht="11.25">
      <c r="U209" s="355"/>
      <c r="V209" s="350"/>
    </row>
    <row r="210" spans="21:22" ht="11.25">
      <c r="U210" s="355"/>
      <c r="V210" s="350"/>
    </row>
    <row r="211" spans="21:22" ht="11.25">
      <c r="U211" s="355"/>
      <c r="V211" s="350"/>
    </row>
    <row r="212" spans="21:22" ht="11.25">
      <c r="U212" s="355"/>
      <c r="V212" s="350"/>
    </row>
    <row r="213" spans="21:22" ht="11.25">
      <c r="U213" s="355"/>
      <c r="V213" s="350"/>
    </row>
    <row r="214" spans="21:22" ht="11.25">
      <c r="U214" s="355"/>
      <c r="V214" s="350"/>
    </row>
    <row r="217" spans="18:21" ht="11.25">
      <c r="R217" s="356"/>
      <c r="U217" s="355"/>
    </row>
    <row r="218" spans="21:22" ht="11.25">
      <c r="U218" s="355"/>
      <c r="V218" s="350"/>
    </row>
    <row r="219" spans="21:22" ht="11.25">
      <c r="U219" s="355"/>
      <c r="V219" s="350"/>
    </row>
    <row r="220" spans="21:22" ht="11.25">
      <c r="U220" s="355"/>
      <c r="V220" s="350"/>
    </row>
    <row r="221" spans="21:22" ht="11.25">
      <c r="U221" s="355"/>
      <c r="V221" s="350"/>
    </row>
    <row r="222" spans="21:22" ht="11.25">
      <c r="U222" s="355"/>
      <c r="V222" s="350"/>
    </row>
    <row r="223" spans="21:22" ht="11.25">
      <c r="U223" s="355"/>
      <c r="V223" s="350"/>
    </row>
    <row r="224" spans="21:22" ht="11.25">
      <c r="U224" s="355"/>
      <c r="V224" s="350"/>
    </row>
    <row r="226" spans="18:21" ht="11.25">
      <c r="R226" s="356"/>
      <c r="U226" s="355"/>
    </row>
    <row r="227" spans="21:22" ht="11.25">
      <c r="U227" s="355"/>
      <c r="V227" s="350"/>
    </row>
    <row r="228" spans="21:22" ht="11.25">
      <c r="U228" s="355"/>
      <c r="V228" s="350"/>
    </row>
    <row r="229" spans="21:22" ht="11.25">
      <c r="U229" s="355"/>
      <c r="V229" s="350"/>
    </row>
    <row r="230" spans="21:22" ht="11.25">
      <c r="U230" s="355"/>
      <c r="V230" s="350"/>
    </row>
    <row r="231" spans="21:22" ht="11.25">
      <c r="U231" s="355"/>
      <c r="V231" s="350"/>
    </row>
    <row r="232" spans="21:22" ht="11.25">
      <c r="U232" s="355"/>
      <c r="V232" s="350"/>
    </row>
    <row r="233" spans="21:22" ht="11.25">
      <c r="U233" s="355"/>
      <c r="V233" s="350"/>
    </row>
    <row r="236" spans="18:21" ht="11.25">
      <c r="R236" s="356"/>
      <c r="U236" s="355"/>
    </row>
    <row r="237" spans="21:22" ht="11.25">
      <c r="U237" s="355"/>
      <c r="V237" s="350"/>
    </row>
    <row r="238" spans="21:22" ht="11.25">
      <c r="U238" s="355"/>
      <c r="V238" s="350"/>
    </row>
    <row r="239" spans="21:22" ht="11.25">
      <c r="U239" s="355"/>
      <c r="V239" s="350"/>
    </row>
    <row r="240" spans="21:22" ht="11.25">
      <c r="U240" s="355"/>
      <c r="V240" s="350"/>
    </row>
    <row r="241" spans="21:22" ht="11.25">
      <c r="U241" s="355"/>
      <c r="V241" s="350"/>
    </row>
    <row r="242" spans="21:22" ht="11.25">
      <c r="U242" s="355"/>
      <c r="V242" s="350"/>
    </row>
    <row r="243" spans="21:22" ht="11.25">
      <c r="U243" s="355"/>
      <c r="V243" s="350"/>
    </row>
    <row r="246" ht="11.25">
      <c r="U246" s="355"/>
    </row>
    <row r="247" spans="21:22" ht="11.25">
      <c r="U247" s="355"/>
      <c r="V247" s="350"/>
    </row>
    <row r="248" spans="21:22" ht="11.25">
      <c r="U248" s="355"/>
      <c r="V248" s="350"/>
    </row>
    <row r="249" spans="21:22" ht="11.25">
      <c r="U249" s="355"/>
      <c r="V249" s="350"/>
    </row>
    <row r="250" spans="21:22" ht="11.25">
      <c r="U250" s="355"/>
      <c r="V250" s="350"/>
    </row>
    <row r="251" spans="21:22" ht="11.25">
      <c r="U251" s="355"/>
      <c r="V251" s="350"/>
    </row>
    <row r="252" spans="21:22" ht="11.25">
      <c r="U252" s="355"/>
      <c r="V252" s="350"/>
    </row>
    <row r="253" spans="21:22" ht="11.25">
      <c r="U253" s="355"/>
      <c r="V253" s="350"/>
    </row>
    <row r="255" ht="11.25">
      <c r="U255" s="357"/>
    </row>
    <row r="256" spans="19:20" ht="11.25">
      <c r="S256" s="355"/>
      <c r="T256" s="357"/>
    </row>
    <row r="257" spans="19:20" ht="11.25">
      <c r="S257" s="355"/>
      <c r="T257" s="357"/>
    </row>
    <row r="258" spans="19:20" ht="11.25">
      <c r="S258" s="355"/>
      <c r="T258" s="357"/>
    </row>
    <row r="259" spans="19:20" ht="11.25">
      <c r="S259" s="355"/>
      <c r="T259" s="357"/>
    </row>
    <row r="260" spans="19:20" ht="11.25">
      <c r="S260" s="355"/>
      <c r="T260" s="357"/>
    </row>
    <row r="261" spans="19:20" ht="11.25">
      <c r="S261" s="355"/>
      <c r="T261" s="357"/>
    </row>
    <row r="262" ht="11.25">
      <c r="S262" s="355"/>
    </row>
    <row r="264" ht="11.25">
      <c r="U264" s="350"/>
    </row>
    <row r="266" ht="11.25">
      <c r="U266" s="357"/>
    </row>
    <row r="267" ht="11.25">
      <c r="U267" s="357"/>
    </row>
    <row r="268" ht="11.25">
      <c r="U268" s="357"/>
    </row>
    <row r="269" spans="21:22" ht="11.25">
      <c r="U269" s="357"/>
      <c r="V269" s="358"/>
    </row>
    <row r="270" spans="21:22" ht="11.25">
      <c r="U270" s="357"/>
      <c r="V270" s="358"/>
    </row>
    <row r="271" spans="21:22" ht="11.25">
      <c r="U271" s="357"/>
      <c r="V271" s="358"/>
    </row>
    <row r="272" spans="21:22" ht="11.25">
      <c r="U272" s="357"/>
      <c r="V272" s="358"/>
    </row>
    <row r="273" spans="21:22" ht="11.25">
      <c r="U273" s="357"/>
      <c r="V273" s="358"/>
    </row>
    <row r="274" spans="21:22" ht="11.25">
      <c r="U274" s="357"/>
      <c r="V274" s="358"/>
    </row>
    <row r="275" spans="21:22" ht="11.25">
      <c r="U275" s="357"/>
      <c r="V275" s="358"/>
    </row>
    <row r="277" ht="11.25">
      <c r="X277" s="357"/>
    </row>
    <row r="278" ht="11.25">
      <c r="X278" s="357"/>
    </row>
    <row r="279" ht="11.25">
      <c r="X279" s="357"/>
    </row>
    <row r="280" ht="11.25">
      <c r="X280" s="357"/>
    </row>
    <row r="281" ht="11.25">
      <c r="X281" s="357"/>
    </row>
    <row r="282" ht="11.25">
      <c r="X282" s="357"/>
    </row>
    <row r="283" ht="11.25">
      <c r="X283" s="357"/>
    </row>
    <row r="284" ht="11.25">
      <c r="X284" s="357"/>
    </row>
    <row r="285" ht="11.25">
      <c r="X285" s="357"/>
    </row>
    <row r="286" ht="11.25">
      <c r="X286" s="357"/>
    </row>
    <row r="287" ht="11.25">
      <c r="X287" s="357"/>
    </row>
    <row r="288" ht="11.25">
      <c r="X288" s="357"/>
    </row>
    <row r="289" ht="12" thickBot="1"/>
    <row r="290" spans="19:20" ht="12" thickBot="1">
      <c r="S290" s="359"/>
      <c r="T290" s="360"/>
    </row>
    <row r="291" spans="20:25" ht="11.25">
      <c r="T291" s="360"/>
      <c r="V291" s="350"/>
      <c r="X291" s="355"/>
      <c r="Y291" s="348"/>
    </row>
    <row r="292" spans="20:25" ht="11.25">
      <c r="T292" s="360"/>
      <c r="V292" s="350"/>
      <c r="X292" s="355"/>
      <c r="Y292" s="348"/>
    </row>
    <row r="293" spans="20:25" ht="11.25">
      <c r="T293" s="360"/>
      <c r="V293" s="350"/>
      <c r="X293" s="355"/>
      <c r="Y293" s="348"/>
    </row>
    <row r="294" spans="20:25" ht="11.25">
      <c r="T294" s="360"/>
      <c r="V294" s="350"/>
      <c r="X294" s="355"/>
      <c r="Y294" s="348"/>
    </row>
    <row r="295" spans="20:25" ht="11.25">
      <c r="T295" s="360"/>
      <c r="V295" s="350"/>
      <c r="X295" s="355"/>
      <c r="Y295" s="348"/>
    </row>
    <row r="296" spans="20:25" ht="11.25">
      <c r="T296" s="360"/>
      <c r="V296" s="350"/>
      <c r="X296" s="355"/>
      <c r="Y296" s="348"/>
    </row>
    <row r="297" ht="11.25">
      <c r="T297" s="360"/>
    </row>
    <row r="298" spans="24:25" ht="11.25">
      <c r="X298" s="348"/>
      <c r="Y298" s="348"/>
    </row>
    <row r="299" spans="24:25" ht="11.25">
      <c r="X299" s="348"/>
      <c r="Y299" s="348"/>
    </row>
    <row r="300" spans="24:25" ht="11.25">
      <c r="X300" s="348"/>
      <c r="Y300" s="348"/>
    </row>
    <row r="301" spans="20:25" ht="11.25">
      <c r="T301" s="360"/>
      <c r="U301" s="350"/>
      <c r="X301" s="348"/>
      <c r="Y301" s="348"/>
    </row>
    <row r="302" spans="20:25" ht="11.25">
      <c r="T302" s="360"/>
      <c r="U302" s="350"/>
      <c r="X302" s="348"/>
      <c r="Y302" s="348"/>
    </row>
    <row r="303" spans="20:25" ht="11.25">
      <c r="T303" s="360"/>
      <c r="U303" s="350"/>
      <c r="X303" s="348"/>
      <c r="Y303" s="348"/>
    </row>
    <row r="304" spans="20:21" ht="11.25">
      <c r="T304" s="360"/>
      <c r="U304" s="350"/>
    </row>
    <row r="305" spans="20:21" ht="11.25">
      <c r="T305" s="360"/>
      <c r="U305" s="350"/>
    </row>
    <row r="306" spans="20:23" ht="11.25">
      <c r="T306" s="360"/>
      <c r="U306" s="350"/>
      <c r="W306" s="361"/>
    </row>
    <row r="307" ht="11.25">
      <c r="T307" s="360"/>
    </row>
    <row r="313" ht="11.25">
      <c r="V313" s="361"/>
    </row>
    <row r="315" ht="12" thickBot="1"/>
    <row r="316" ht="12" thickBot="1">
      <c r="V316" s="362"/>
    </row>
  </sheetData>
  <sheetProtection password="C61F" sheet="1"/>
  <autoFilter ref="A18:AA39"/>
  <mergeCells count="53">
    <mergeCell ref="Y19:Y39"/>
    <mergeCell ref="Z19:Z39"/>
    <mergeCell ref="AA19:AA39"/>
    <mergeCell ref="S19:S39"/>
    <mergeCell ref="T19:T39"/>
    <mergeCell ref="U19:U39"/>
    <mergeCell ref="V19:V39"/>
    <mergeCell ref="W19:W39"/>
    <mergeCell ref="X19:X39"/>
    <mergeCell ref="M19:M39"/>
    <mergeCell ref="N19:N39"/>
    <mergeCell ref="O19:O39"/>
    <mergeCell ref="P19:P39"/>
    <mergeCell ref="Q19:Q39"/>
    <mergeCell ref="R19:R39"/>
    <mergeCell ref="AO17:AP17"/>
    <mergeCell ref="AQ17:AR17"/>
    <mergeCell ref="BB17:BC17"/>
    <mergeCell ref="BD17:BE17"/>
    <mergeCell ref="BF17:BG17"/>
    <mergeCell ref="H19:H39"/>
    <mergeCell ref="I19:I39"/>
    <mergeCell ref="J19:J39"/>
    <mergeCell ref="K19:K39"/>
    <mergeCell ref="L19:L39"/>
    <mergeCell ref="AC17:AD17"/>
    <mergeCell ref="AE17:AF17"/>
    <mergeCell ref="AG17:AH17"/>
    <mergeCell ref="AI17:AJ17"/>
    <mergeCell ref="AK17:AL17"/>
    <mergeCell ref="AM17:AN17"/>
    <mergeCell ref="W17:W18"/>
    <mergeCell ref="X17:X18"/>
    <mergeCell ref="Y17:Y18"/>
    <mergeCell ref="Z17:Z18"/>
    <mergeCell ref="AA17:AA18"/>
    <mergeCell ref="AB17:AB18"/>
    <mergeCell ref="AK1:AN8"/>
    <mergeCell ref="AO1:AQ8"/>
    <mergeCell ref="G17:G18"/>
    <mergeCell ref="H17:H18"/>
    <mergeCell ref="I17:I18"/>
    <mergeCell ref="J17:L17"/>
    <mergeCell ref="O17:P17"/>
    <mergeCell ref="Q17:R17"/>
    <mergeCell ref="S17:T17"/>
    <mergeCell ref="U17:V17"/>
    <mergeCell ref="A1:D8"/>
    <mergeCell ref="E1:N8"/>
    <mergeCell ref="O1:R8"/>
    <mergeCell ref="S1:U8"/>
    <mergeCell ref="W1:Y8"/>
    <mergeCell ref="Z1:AJ8"/>
  </mergeCells>
  <conditionalFormatting sqref="BB40:BG40 Q40:T40">
    <cfRule type="cellIs" priority="2" dxfId="10" operator="notEqual" stopIfTrue="1">
      <formula>#REF!</formula>
    </cfRule>
  </conditionalFormatting>
  <conditionalFormatting sqref="Q19:V39">
    <cfRule type="cellIs" priority="1" dxfId="11" operator="notEqual" stopIfTrue="1">
      <formula>BB19</formula>
    </cfRule>
  </conditionalFormatting>
  <dataValidations count="1">
    <dataValidation type="whole" allowBlank="1" showInputMessage="1" showErrorMessage="1" sqref="AC19:AR39">
      <formula1>0</formula1>
      <formula2>99999999999</formula2>
    </dataValidation>
  </dataValidations>
  <printOptions/>
  <pageMargins left="0.7086614173228347" right="0.7086614173228347" top="0.7480314960629921" bottom="0.7480314960629921" header="0.31496062992125984" footer="0.31496062992125984"/>
  <pageSetup orientation="landscape" scale="65"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rgb="FFFFC000"/>
    <pageSetUpPr fitToPage="1"/>
  </sheetPr>
  <dimension ref="A1:BD30"/>
  <sheetViews>
    <sheetView showGridLines="0" zoomScale="80" zoomScaleNormal="80" zoomScalePageLayoutView="0" workbookViewId="0" topLeftCell="C10">
      <selection activeCell="G16" sqref="G16"/>
    </sheetView>
  </sheetViews>
  <sheetFormatPr defaultColWidth="11.421875" defaultRowHeight="15" outlineLevelRow="2"/>
  <cols>
    <col min="1" max="1" width="7.00390625" style="5" hidden="1" customWidth="1"/>
    <col min="2" max="2" width="8.421875" style="5" hidden="1" customWidth="1"/>
    <col min="3" max="3" width="9.57421875" style="5" customWidth="1"/>
    <col min="4" max="4" width="18.8515625" style="5" customWidth="1"/>
    <col min="5" max="5" width="6.8515625" style="5" customWidth="1"/>
    <col min="6" max="6" width="38.00390625" style="5" customWidth="1"/>
    <col min="7" max="7" width="11.421875" style="5" customWidth="1"/>
    <col min="8" max="8" width="9.00390625" style="5" customWidth="1"/>
    <col min="9" max="9" width="10.28125" style="5" customWidth="1"/>
    <col min="10" max="10" width="19.7109375" style="5" customWidth="1"/>
    <col min="11" max="11" width="11.421875" style="5" customWidth="1"/>
    <col min="12" max="12" width="11.421875" style="366" customWidth="1"/>
    <col min="13" max="13" width="21.421875" style="5" customWidth="1"/>
    <col min="14" max="14" width="22.8515625" style="5" customWidth="1"/>
    <col min="15" max="15" width="19.57421875" style="5" customWidth="1"/>
    <col min="16" max="16" width="19.7109375" style="5" customWidth="1"/>
    <col min="17" max="17" width="20.140625" style="5" customWidth="1"/>
    <col min="18" max="18" width="18.140625" style="5" customWidth="1"/>
    <col min="19" max="20" width="50.7109375" style="5" customWidth="1"/>
    <col min="21" max="21" width="19.421875" style="5" customWidth="1"/>
    <col min="22" max="22" width="19.8515625" style="5" customWidth="1"/>
    <col min="23" max="23" width="9.7109375" style="5" customWidth="1"/>
    <col min="24" max="25" width="15.7109375" style="5" customWidth="1"/>
    <col min="26" max="26" width="9.7109375" style="5" customWidth="1"/>
    <col min="27" max="28" width="15.7109375" style="5" customWidth="1"/>
    <col min="29" max="29" width="9.7109375" style="5" customWidth="1"/>
    <col min="30" max="31" width="15.7109375" style="5" customWidth="1"/>
    <col min="32" max="32" width="9.7109375" style="5" customWidth="1"/>
    <col min="33" max="34" width="15.7109375" style="5" customWidth="1"/>
    <col min="35" max="35" width="9.7109375" style="5" customWidth="1"/>
    <col min="36" max="37" width="15.7109375" style="5" customWidth="1"/>
    <col min="38" max="38" width="9.7109375" style="5" customWidth="1"/>
    <col min="39" max="40" width="15.7109375" style="5" customWidth="1"/>
    <col min="41" max="41" width="9.7109375" style="5" customWidth="1"/>
    <col min="42" max="43" width="15.7109375" style="5" customWidth="1"/>
    <col min="44" max="44" width="9.7109375" style="5" customWidth="1"/>
    <col min="45" max="46" width="15.7109375" style="5" customWidth="1"/>
    <col min="47" max="47" width="9.7109375" style="5" customWidth="1"/>
    <col min="48" max="48" width="5.00390625" style="5" customWidth="1"/>
    <col min="49" max="51" width="11.421875" style="5" customWidth="1"/>
    <col min="52" max="52" width="3.7109375" style="5" customWidth="1"/>
    <col min="53" max="53" width="14.140625" style="5" customWidth="1"/>
    <col min="54" max="54" width="11.421875" style="5" customWidth="1"/>
    <col min="55" max="55" width="14.421875" style="5" customWidth="1"/>
    <col min="56" max="16384" width="11.421875" style="5" customWidth="1"/>
  </cols>
  <sheetData>
    <row r="1" spans="1:51" s="244" customFormat="1" ht="12">
      <c r="A1" s="237"/>
      <c r="B1" s="238"/>
      <c r="C1" s="240"/>
      <c r="D1" s="241" t="s">
        <v>244</v>
      </c>
      <c r="E1" s="242"/>
      <c r="F1" s="242"/>
      <c r="G1" s="242"/>
      <c r="H1" s="242"/>
      <c r="I1" s="243"/>
      <c r="J1" s="234" t="s">
        <v>190</v>
      </c>
      <c r="K1" s="235"/>
      <c r="L1" s="235"/>
      <c r="M1" s="236"/>
      <c r="N1" s="241"/>
      <c r="O1" s="243"/>
      <c r="P1" s="241"/>
      <c r="Q1" s="242"/>
      <c r="R1" s="243"/>
      <c r="S1" s="258" t="s">
        <v>245</v>
      </c>
      <c r="T1" s="259"/>
      <c r="U1" s="259"/>
      <c r="V1" s="259"/>
      <c r="W1" s="259"/>
      <c r="X1" s="259"/>
      <c r="Y1" s="259"/>
      <c r="Z1" s="259"/>
      <c r="AA1" s="260"/>
      <c r="AB1" s="234" t="s">
        <v>190</v>
      </c>
      <c r="AC1" s="235"/>
      <c r="AD1" s="235"/>
      <c r="AE1" s="236"/>
      <c r="AF1" s="363"/>
      <c r="AG1" s="363"/>
      <c r="AH1" s="241"/>
      <c r="AI1" s="242"/>
      <c r="AJ1" s="243"/>
      <c r="AK1" s="258" t="s">
        <v>246</v>
      </c>
      <c r="AL1" s="259"/>
      <c r="AM1" s="259"/>
      <c r="AN1" s="259"/>
      <c r="AO1" s="259"/>
      <c r="AP1" s="259"/>
      <c r="AQ1" s="259"/>
      <c r="AR1" s="260"/>
      <c r="AS1" s="234" t="s">
        <v>190</v>
      </c>
      <c r="AT1" s="235"/>
      <c r="AU1" s="235"/>
      <c r="AV1" s="236"/>
      <c r="AW1" s="237"/>
      <c r="AX1" s="238"/>
      <c r="AY1" s="240"/>
    </row>
    <row r="2" spans="1:51" s="244" customFormat="1" ht="12">
      <c r="A2" s="254"/>
      <c r="B2" s="255"/>
      <c r="C2" s="257"/>
      <c r="D2" s="258"/>
      <c r="E2" s="259"/>
      <c r="F2" s="259"/>
      <c r="G2" s="259"/>
      <c r="H2" s="259"/>
      <c r="I2" s="260"/>
      <c r="J2" s="251"/>
      <c r="K2" s="252"/>
      <c r="L2" s="252"/>
      <c r="M2" s="253"/>
      <c r="N2" s="258"/>
      <c r="O2" s="260"/>
      <c r="P2" s="258"/>
      <c r="Q2" s="259"/>
      <c r="R2" s="260"/>
      <c r="S2" s="258"/>
      <c r="T2" s="259"/>
      <c r="U2" s="259"/>
      <c r="V2" s="259"/>
      <c r="W2" s="259"/>
      <c r="X2" s="259"/>
      <c r="Y2" s="259"/>
      <c r="Z2" s="259"/>
      <c r="AA2" s="260"/>
      <c r="AB2" s="251"/>
      <c r="AC2" s="252"/>
      <c r="AD2" s="252"/>
      <c r="AE2" s="253"/>
      <c r="AF2" s="364"/>
      <c r="AG2" s="364"/>
      <c r="AH2" s="258"/>
      <c r="AI2" s="259"/>
      <c r="AJ2" s="260"/>
      <c r="AK2" s="258"/>
      <c r="AL2" s="259"/>
      <c r="AM2" s="259"/>
      <c r="AN2" s="259"/>
      <c r="AO2" s="259"/>
      <c r="AP2" s="259"/>
      <c r="AQ2" s="259"/>
      <c r="AR2" s="260"/>
      <c r="AS2" s="251"/>
      <c r="AT2" s="252"/>
      <c r="AU2" s="252"/>
      <c r="AV2" s="253"/>
      <c r="AW2" s="254"/>
      <c r="AX2" s="255"/>
      <c r="AY2" s="257"/>
    </row>
    <row r="3" spans="1:51" s="244" customFormat="1" ht="12">
      <c r="A3" s="254"/>
      <c r="B3" s="255"/>
      <c r="C3" s="257"/>
      <c r="D3" s="258"/>
      <c r="E3" s="259"/>
      <c r="F3" s="259"/>
      <c r="G3" s="259"/>
      <c r="H3" s="259"/>
      <c r="I3" s="260"/>
      <c r="J3" s="251"/>
      <c r="K3" s="252"/>
      <c r="L3" s="252"/>
      <c r="M3" s="253"/>
      <c r="N3" s="258"/>
      <c r="O3" s="260"/>
      <c r="P3" s="258"/>
      <c r="Q3" s="259"/>
      <c r="R3" s="260"/>
      <c r="S3" s="258"/>
      <c r="T3" s="259"/>
      <c r="U3" s="259"/>
      <c r="V3" s="259"/>
      <c r="W3" s="259"/>
      <c r="X3" s="259"/>
      <c r="Y3" s="259"/>
      <c r="Z3" s="259"/>
      <c r="AA3" s="260"/>
      <c r="AB3" s="251"/>
      <c r="AC3" s="252"/>
      <c r="AD3" s="252"/>
      <c r="AE3" s="253"/>
      <c r="AF3" s="364"/>
      <c r="AG3" s="364"/>
      <c r="AH3" s="258"/>
      <c r="AI3" s="259"/>
      <c r="AJ3" s="260"/>
      <c r="AK3" s="258"/>
      <c r="AL3" s="259"/>
      <c r="AM3" s="259"/>
      <c r="AN3" s="259"/>
      <c r="AO3" s="259"/>
      <c r="AP3" s="259"/>
      <c r="AQ3" s="259"/>
      <c r="AR3" s="260"/>
      <c r="AS3" s="251"/>
      <c r="AT3" s="252"/>
      <c r="AU3" s="252"/>
      <c r="AV3" s="253"/>
      <c r="AW3" s="254"/>
      <c r="AX3" s="255"/>
      <c r="AY3" s="257"/>
    </row>
    <row r="4" spans="1:51" s="244" customFormat="1" ht="12">
      <c r="A4" s="254"/>
      <c r="B4" s="255"/>
      <c r="C4" s="257"/>
      <c r="D4" s="258"/>
      <c r="E4" s="259"/>
      <c r="F4" s="259"/>
      <c r="G4" s="259"/>
      <c r="H4" s="259"/>
      <c r="I4" s="260"/>
      <c r="J4" s="251"/>
      <c r="K4" s="252"/>
      <c r="L4" s="252"/>
      <c r="M4" s="253"/>
      <c r="N4" s="258"/>
      <c r="O4" s="260"/>
      <c r="P4" s="258"/>
      <c r="Q4" s="259"/>
      <c r="R4" s="260"/>
      <c r="S4" s="258"/>
      <c r="T4" s="259"/>
      <c r="U4" s="259"/>
      <c r="V4" s="259"/>
      <c r="W4" s="259"/>
      <c r="X4" s="259"/>
      <c r="Y4" s="259"/>
      <c r="Z4" s="259"/>
      <c r="AA4" s="260"/>
      <c r="AB4" s="251"/>
      <c r="AC4" s="252"/>
      <c r="AD4" s="252"/>
      <c r="AE4" s="253"/>
      <c r="AF4" s="364"/>
      <c r="AG4" s="364"/>
      <c r="AH4" s="258"/>
      <c r="AI4" s="259"/>
      <c r="AJ4" s="260"/>
      <c r="AK4" s="258"/>
      <c r="AL4" s="259"/>
      <c r="AM4" s="259"/>
      <c r="AN4" s="259"/>
      <c r="AO4" s="259"/>
      <c r="AP4" s="259"/>
      <c r="AQ4" s="259"/>
      <c r="AR4" s="260"/>
      <c r="AS4" s="251"/>
      <c r="AT4" s="252"/>
      <c r="AU4" s="252"/>
      <c r="AV4" s="253"/>
      <c r="AW4" s="254"/>
      <c r="AX4" s="255"/>
      <c r="AY4" s="257"/>
    </row>
    <row r="5" spans="1:51" s="244" customFormat="1" ht="12">
      <c r="A5" s="254"/>
      <c r="B5" s="255"/>
      <c r="C5" s="257"/>
      <c r="D5" s="258"/>
      <c r="E5" s="259"/>
      <c r="F5" s="259"/>
      <c r="G5" s="259"/>
      <c r="H5" s="259"/>
      <c r="I5" s="260"/>
      <c r="J5" s="251"/>
      <c r="K5" s="252"/>
      <c r="L5" s="252"/>
      <c r="M5" s="253"/>
      <c r="N5" s="258"/>
      <c r="O5" s="260"/>
      <c r="P5" s="258"/>
      <c r="Q5" s="259"/>
      <c r="R5" s="260"/>
      <c r="S5" s="258"/>
      <c r="T5" s="259"/>
      <c r="U5" s="259"/>
      <c r="V5" s="259"/>
      <c r="W5" s="259"/>
      <c r="X5" s="259"/>
      <c r="Y5" s="259"/>
      <c r="Z5" s="259"/>
      <c r="AA5" s="260"/>
      <c r="AB5" s="251"/>
      <c r="AC5" s="252"/>
      <c r="AD5" s="252"/>
      <c r="AE5" s="253"/>
      <c r="AF5" s="364"/>
      <c r="AG5" s="364"/>
      <c r="AH5" s="258"/>
      <c r="AI5" s="259"/>
      <c r="AJ5" s="260"/>
      <c r="AK5" s="258"/>
      <c r="AL5" s="259"/>
      <c r="AM5" s="259"/>
      <c r="AN5" s="259"/>
      <c r="AO5" s="259"/>
      <c r="AP5" s="259"/>
      <c r="AQ5" s="259"/>
      <c r="AR5" s="260"/>
      <c r="AS5" s="251"/>
      <c r="AT5" s="252"/>
      <c r="AU5" s="252"/>
      <c r="AV5" s="253"/>
      <c r="AW5" s="254"/>
      <c r="AX5" s="255"/>
      <c r="AY5" s="257"/>
    </row>
    <row r="6" spans="1:51" s="244" customFormat="1" ht="12">
      <c r="A6" s="254"/>
      <c r="B6" s="255"/>
      <c r="C6" s="257"/>
      <c r="D6" s="258"/>
      <c r="E6" s="259"/>
      <c r="F6" s="259"/>
      <c r="G6" s="259"/>
      <c r="H6" s="259"/>
      <c r="I6" s="260"/>
      <c r="J6" s="251"/>
      <c r="K6" s="252"/>
      <c r="L6" s="252"/>
      <c r="M6" s="253"/>
      <c r="N6" s="258"/>
      <c r="O6" s="260"/>
      <c r="P6" s="258"/>
      <c r="Q6" s="259"/>
      <c r="R6" s="260"/>
      <c r="S6" s="258"/>
      <c r="T6" s="259"/>
      <c r="U6" s="259"/>
      <c r="V6" s="259"/>
      <c r="W6" s="259"/>
      <c r="X6" s="259"/>
      <c r="Y6" s="259"/>
      <c r="Z6" s="259"/>
      <c r="AA6" s="260"/>
      <c r="AB6" s="251"/>
      <c r="AC6" s="252"/>
      <c r="AD6" s="252"/>
      <c r="AE6" s="253"/>
      <c r="AF6" s="364"/>
      <c r="AG6" s="364"/>
      <c r="AH6" s="258"/>
      <c r="AI6" s="259"/>
      <c r="AJ6" s="260"/>
      <c r="AK6" s="258"/>
      <c r="AL6" s="259"/>
      <c r="AM6" s="259"/>
      <c r="AN6" s="259"/>
      <c r="AO6" s="259"/>
      <c r="AP6" s="259"/>
      <c r="AQ6" s="259"/>
      <c r="AR6" s="260"/>
      <c r="AS6" s="251"/>
      <c r="AT6" s="252"/>
      <c r="AU6" s="252"/>
      <c r="AV6" s="253"/>
      <c r="AW6" s="254"/>
      <c r="AX6" s="255"/>
      <c r="AY6" s="257"/>
    </row>
    <row r="7" spans="1:51" s="244" customFormat="1" ht="12">
      <c r="A7" s="254"/>
      <c r="B7" s="255"/>
      <c r="C7" s="257"/>
      <c r="D7" s="258"/>
      <c r="E7" s="259"/>
      <c r="F7" s="259"/>
      <c r="G7" s="259"/>
      <c r="H7" s="259"/>
      <c r="I7" s="260"/>
      <c r="J7" s="251"/>
      <c r="K7" s="252"/>
      <c r="L7" s="252"/>
      <c r="M7" s="253"/>
      <c r="N7" s="258"/>
      <c r="O7" s="260"/>
      <c r="P7" s="258"/>
      <c r="Q7" s="259"/>
      <c r="R7" s="260"/>
      <c r="S7" s="258"/>
      <c r="T7" s="259"/>
      <c r="U7" s="259"/>
      <c r="V7" s="259"/>
      <c r="W7" s="259"/>
      <c r="X7" s="259"/>
      <c r="Y7" s="259"/>
      <c r="Z7" s="259"/>
      <c r="AA7" s="260"/>
      <c r="AB7" s="251"/>
      <c r="AC7" s="252"/>
      <c r="AD7" s="252"/>
      <c r="AE7" s="253"/>
      <c r="AF7" s="364"/>
      <c r="AG7" s="364"/>
      <c r="AH7" s="258"/>
      <c r="AI7" s="259"/>
      <c r="AJ7" s="260"/>
      <c r="AK7" s="258"/>
      <c r="AL7" s="259"/>
      <c r="AM7" s="259"/>
      <c r="AN7" s="259"/>
      <c r="AO7" s="259"/>
      <c r="AP7" s="259"/>
      <c r="AQ7" s="259"/>
      <c r="AR7" s="260"/>
      <c r="AS7" s="251"/>
      <c r="AT7" s="252"/>
      <c r="AU7" s="252"/>
      <c r="AV7" s="253"/>
      <c r="AW7" s="254"/>
      <c r="AX7" s="255"/>
      <c r="AY7" s="257"/>
    </row>
    <row r="8" spans="1:51" s="244" customFormat="1" ht="12.75" thickBot="1">
      <c r="A8" s="270"/>
      <c r="B8" s="271"/>
      <c r="C8" s="273"/>
      <c r="D8" s="274"/>
      <c r="E8" s="275"/>
      <c r="F8" s="275"/>
      <c r="G8" s="275"/>
      <c r="H8" s="275"/>
      <c r="I8" s="276"/>
      <c r="J8" s="267"/>
      <c r="K8" s="268"/>
      <c r="L8" s="268"/>
      <c r="M8" s="269"/>
      <c r="N8" s="274"/>
      <c r="O8" s="276"/>
      <c r="P8" s="274"/>
      <c r="Q8" s="275"/>
      <c r="R8" s="276"/>
      <c r="S8" s="274"/>
      <c r="T8" s="275"/>
      <c r="U8" s="275"/>
      <c r="V8" s="275"/>
      <c r="W8" s="275"/>
      <c r="X8" s="275"/>
      <c r="Y8" s="275"/>
      <c r="Z8" s="275"/>
      <c r="AA8" s="276"/>
      <c r="AB8" s="267"/>
      <c r="AC8" s="268"/>
      <c r="AD8" s="268"/>
      <c r="AE8" s="269"/>
      <c r="AF8" s="365"/>
      <c r="AG8" s="365"/>
      <c r="AH8" s="274"/>
      <c r="AI8" s="275"/>
      <c r="AJ8" s="276"/>
      <c r="AK8" s="274"/>
      <c r="AL8" s="275"/>
      <c r="AM8" s="275"/>
      <c r="AN8" s="275"/>
      <c r="AO8" s="275"/>
      <c r="AP8" s="275"/>
      <c r="AQ8" s="275"/>
      <c r="AR8" s="276"/>
      <c r="AS8" s="267"/>
      <c r="AT8" s="268"/>
      <c r="AU8" s="268"/>
      <c r="AV8" s="269"/>
      <c r="AW8" s="270"/>
      <c r="AX8" s="271"/>
      <c r="AY8" s="273"/>
    </row>
    <row r="12" spans="6:9" ht="25.5">
      <c r="F12" s="2" t="s">
        <v>3</v>
      </c>
      <c r="G12" s="2"/>
      <c r="H12" s="2"/>
      <c r="I12" s="2"/>
    </row>
    <row r="13" spans="2:47" ht="26.25" customHeight="1">
      <c r="B13" s="367" t="s">
        <v>247</v>
      </c>
      <c r="C13" s="368" t="s">
        <v>248</v>
      </c>
      <c r="D13" s="369"/>
      <c r="E13" s="370" t="s">
        <v>249</v>
      </c>
      <c r="F13" s="370" t="s">
        <v>8</v>
      </c>
      <c r="G13" s="222" t="s">
        <v>136</v>
      </c>
      <c r="H13" s="206"/>
      <c r="I13" s="207"/>
      <c r="J13" s="371"/>
      <c r="K13" s="205" t="s">
        <v>0</v>
      </c>
      <c r="L13" s="205"/>
      <c r="M13" s="205" t="s">
        <v>145</v>
      </c>
      <c r="N13" s="205"/>
      <c r="O13" s="205" t="s">
        <v>146</v>
      </c>
      <c r="P13" s="205"/>
      <c r="Q13" s="205" t="s">
        <v>140</v>
      </c>
      <c r="R13" s="205"/>
      <c r="S13" s="196" t="s">
        <v>1</v>
      </c>
      <c r="T13" s="196" t="s">
        <v>2</v>
      </c>
      <c r="U13" s="372" t="s">
        <v>250</v>
      </c>
      <c r="V13" s="373"/>
      <c r="W13" s="374"/>
      <c r="X13" s="370" t="s">
        <v>251</v>
      </c>
      <c r="Y13" s="370"/>
      <c r="Z13" s="370"/>
      <c r="AA13" s="370" t="s">
        <v>252</v>
      </c>
      <c r="AB13" s="370"/>
      <c r="AC13" s="370"/>
      <c r="AD13" s="370" t="s">
        <v>253</v>
      </c>
      <c r="AE13" s="370"/>
      <c r="AF13" s="370"/>
      <c r="AG13" s="370" t="s">
        <v>254</v>
      </c>
      <c r="AH13" s="370"/>
      <c r="AI13" s="370"/>
      <c r="AJ13" s="370" t="s">
        <v>255</v>
      </c>
      <c r="AK13" s="370"/>
      <c r="AL13" s="370"/>
      <c r="AM13" s="370" t="s">
        <v>256</v>
      </c>
      <c r="AN13" s="370"/>
      <c r="AO13" s="370"/>
      <c r="AP13" s="370" t="s">
        <v>257</v>
      </c>
      <c r="AQ13" s="370"/>
      <c r="AR13" s="370"/>
      <c r="AS13" s="370" t="s">
        <v>258</v>
      </c>
      <c r="AT13" s="370"/>
      <c r="AU13" s="370"/>
    </row>
    <row r="14" spans="1:47" ht="67.5">
      <c r="A14" s="1" t="s">
        <v>212</v>
      </c>
      <c r="B14" s="375"/>
      <c r="C14" s="376"/>
      <c r="D14" s="369" t="s">
        <v>9</v>
      </c>
      <c r="E14" s="370"/>
      <c r="F14" s="370"/>
      <c r="G14" s="4" t="s">
        <v>4</v>
      </c>
      <c r="H14" s="4" t="s">
        <v>5</v>
      </c>
      <c r="I14" s="4" t="s">
        <v>6</v>
      </c>
      <c r="J14" s="4" t="s">
        <v>7</v>
      </c>
      <c r="K14" s="3" t="s">
        <v>115</v>
      </c>
      <c r="L14" s="3" t="s">
        <v>116</v>
      </c>
      <c r="M14" s="377" t="s">
        <v>149</v>
      </c>
      <c r="N14" s="377" t="s">
        <v>150</v>
      </c>
      <c r="O14" s="3" t="s">
        <v>151</v>
      </c>
      <c r="P14" s="3" t="s">
        <v>152</v>
      </c>
      <c r="Q14" s="3" t="s">
        <v>147</v>
      </c>
      <c r="R14" s="3" t="s">
        <v>152</v>
      </c>
      <c r="S14" s="196"/>
      <c r="T14" s="196"/>
      <c r="U14" s="3" t="s">
        <v>259</v>
      </c>
      <c r="V14" s="3" t="s">
        <v>260</v>
      </c>
      <c r="W14" s="3" t="s">
        <v>261</v>
      </c>
      <c r="X14" s="3" t="s">
        <v>259</v>
      </c>
      <c r="Y14" s="3" t="s">
        <v>260</v>
      </c>
      <c r="Z14" s="3" t="s">
        <v>261</v>
      </c>
      <c r="AA14" s="3" t="s">
        <v>259</v>
      </c>
      <c r="AB14" s="3" t="s">
        <v>260</v>
      </c>
      <c r="AC14" s="3" t="s">
        <v>261</v>
      </c>
      <c r="AD14" s="3" t="s">
        <v>259</v>
      </c>
      <c r="AE14" s="3" t="s">
        <v>260</v>
      </c>
      <c r="AF14" s="3" t="s">
        <v>261</v>
      </c>
      <c r="AG14" s="3" t="s">
        <v>259</v>
      </c>
      <c r="AH14" s="3" t="s">
        <v>260</v>
      </c>
      <c r="AI14" s="3" t="s">
        <v>261</v>
      </c>
      <c r="AJ14" s="3" t="s">
        <v>259</v>
      </c>
      <c r="AK14" s="3" t="s">
        <v>260</v>
      </c>
      <c r="AL14" s="3" t="s">
        <v>261</v>
      </c>
      <c r="AM14" s="3" t="s">
        <v>259</v>
      </c>
      <c r="AN14" s="3" t="s">
        <v>260</v>
      </c>
      <c r="AO14" s="3" t="s">
        <v>261</v>
      </c>
      <c r="AP14" s="3" t="s">
        <v>259</v>
      </c>
      <c r="AQ14" s="3" t="s">
        <v>260</v>
      </c>
      <c r="AR14" s="3" t="s">
        <v>261</v>
      </c>
      <c r="AS14" s="3" t="s">
        <v>259</v>
      </c>
      <c r="AT14" s="3" t="s">
        <v>260</v>
      </c>
      <c r="AU14" s="3" t="s">
        <v>261</v>
      </c>
    </row>
    <row r="15" spans="1:56" s="6" customFormat="1" ht="360" outlineLevel="2">
      <c r="A15" s="378" t="s">
        <v>216</v>
      </c>
      <c r="B15" s="378" t="s">
        <v>217</v>
      </c>
      <c r="C15" s="379">
        <v>872</v>
      </c>
      <c r="D15" s="380" t="s">
        <v>221</v>
      </c>
      <c r="E15" s="379">
        <v>1</v>
      </c>
      <c r="F15" s="380" t="s">
        <v>35</v>
      </c>
      <c r="G15" s="381" t="s">
        <v>26</v>
      </c>
      <c r="H15" s="382"/>
      <c r="I15" s="382"/>
      <c r="J15" s="380" t="s">
        <v>38</v>
      </c>
      <c r="K15" s="383">
        <v>0.25</v>
      </c>
      <c r="L15" s="384">
        <v>0.125</v>
      </c>
      <c r="M15" s="385">
        <v>126245420</v>
      </c>
      <c r="N15" s="386">
        <v>66480000</v>
      </c>
      <c r="O15" s="387">
        <v>66480000</v>
      </c>
      <c r="P15" s="387">
        <v>17728000</v>
      </c>
      <c r="Q15" s="385">
        <v>5831100</v>
      </c>
      <c r="R15" s="387">
        <f>5301000+530100</f>
        <v>5831100</v>
      </c>
      <c r="S15" s="388" t="s">
        <v>262</v>
      </c>
      <c r="T15" s="389"/>
      <c r="U15" s="387">
        <f aca="true" t="shared" si="0" ref="U15:V17">N15</f>
        <v>66480000</v>
      </c>
      <c r="V15" s="387">
        <f t="shared" si="0"/>
        <v>66480000</v>
      </c>
      <c r="W15" s="390">
        <f>IF(U15=0,"",V15/U15)</f>
        <v>1</v>
      </c>
      <c r="X15" s="391"/>
      <c r="Y15" s="391"/>
      <c r="Z15" s="390">
        <f>IF(X15=0,"",Y15/X15)</f>
      </c>
      <c r="AA15" s="391"/>
      <c r="AB15" s="391"/>
      <c r="AC15" s="390">
        <f>IF(AA15=0,"",AB15/AA15)</f>
      </c>
      <c r="AD15" s="391"/>
      <c r="AE15" s="391"/>
      <c r="AF15" s="390">
        <f>IF(AD15=0,"",AE15/AD15)</f>
      </c>
      <c r="AG15" s="391"/>
      <c r="AH15" s="391"/>
      <c r="AI15" s="390">
        <f>IF(AG15=0,"",AH15/AG15)</f>
      </c>
      <c r="AJ15" s="391"/>
      <c r="AK15" s="391"/>
      <c r="AL15" s="390">
        <f>IF(AJ15=0,"",AK15/AJ15)</f>
      </c>
      <c r="AM15" s="391"/>
      <c r="AN15" s="391"/>
      <c r="AO15" s="390">
        <f>IF(AM15=0,"",AN15/AM15)</f>
      </c>
      <c r="AP15" s="391"/>
      <c r="AQ15" s="391"/>
      <c r="AR15" s="390">
        <f>IF(AP15=0,"",AQ15/AP15)</f>
      </c>
      <c r="AS15" s="391"/>
      <c r="AT15" s="391"/>
      <c r="AU15" s="390">
        <f>IF(AS15=0,"",AT15/AS15)</f>
      </c>
      <c r="AW15" s="392">
        <f aca="true" t="shared" si="1" ref="AW15:AX18">+N15-O15</f>
        <v>0</v>
      </c>
      <c r="AX15" s="392" t="e">
        <f>+O15-#REF!</f>
        <v>#REF!</v>
      </c>
      <c r="AY15" s="392">
        <f>+Q15-R15</f>
        <v>0</v>
      </c>
      <c r="BA15" s="392">
        <f>+'[3]Actividades'!O15-O15</f>
        <v>-8449000</v>
      </c>
      <c r="BB15" s="392" t="e">
        <f>+'[3]Actividades'!P15-#REF!</f>
        <v>#REF!</v>
      </c>
      <c r="BC15" s="392">
        <f>+'[3]Actividades'!Q15-Q15</f>
        <v>9287567</v>
      </c>
      <c r="BD15" s="392">
        <f>+'[3]Actividades'!R15-R15</f>
        <v>9287567</v>
      </c>
    </row>
    <row r="16" spans="1:56" s="6" customFormat="1" ht="409.5" outlineLevel="2">
      <c r="A16" s="378"/>
      <c r="B16" s="378" t="s">
        <v>217</v>
      </c>
      <c r="C16" s="379">
        <v>872</v>
      </c>
      <c r="D16" s="380" t="s">
        <v>221</v>
      </c>
      <c r="E16" s="379">
        <v>2</v>
      </c>
      <c r="F16" s="380" t="s">
        <v>36</v>
      </c>
      <c r="G16" s="381" t="s">
        <v>26</v>
      </c>
      <c r="H16" s="382"/>
      <c r="I16" s="382"/>
      <c r="J16" s="380" t="s">
        <v>39</v>
      </c>
      <c r="K16" s="381">
        <v>4</v>
      </c>
      <c r="L16" s="381">
        <v>4</v>
      </c>
      <c r="M16" s="385">
        <v>420780970</v>
      </c>
      <c r="N16" s="386">
        <v>727171000</v>
      </c>
      <c r="O16" s="387">
        <v>471788000</v>
      </c>
      <c r="P16" s="387">
        <v>49285900</v>
      </c>
      <c r="Q16" s="385">
        <v>47406067</v>
      </c>
      <c r="R16" s="387">
        <f>18844000+11502867+8835000</f>
        <v>39181867</v>
      </c>
      <c r="S16" s="388" t="s">
        <v>263</v>
      </c>
      <c r="T16" s="389"/>
      <c r="U16" s="387">
        <f t="shared" si="0"/>
        <v>727171000</v>
      </c>
      <c r="V16" s="387">
        <f t="shared" si="0"/>
        <v>471788000</v>
      </c>
      <c r="W16" s="390">
        <f>IF(U16=0,"",V16/U16)</f>
        <v>0.648799250795205</v>
      </c>
      <c r="X16" s="391"/>
      <c r="Y16" s="391"/>
      <c r="Z16" s="390"/>
      <c r="AA16" s="391"/>
      <c r="AB16" s="391"/>
      <c r="AC16" s="390"/>
      <c r="AD16" s="391"/>
      <c r="AE16" s="391"/>
      <c r="AF16" s="390"/>
      <c r="AG16" s="391"/>
      <c r="AH16" s="391"/>
      <c r="AI16" s="390"/>
      <c r="AJ16" s="391"/>
      <c r="AK16" s="391"/>
      <c r="AL16" s="390"/>
      <c r="AM16" s="391"/>
      <c r="AN16" s="391"/>
      <c r="AO16" s="390"/>
      <c r="AP16" s="391"/>
      <c r="AQ16" s="391"/>
      <c r="AR16" s="390"/>
      <c r="AS16" s="391"/>
      <c r="AT16" s="391"/>
      <c r="AU16" s="390"/>
      <c r="AW16" s="392">
        <f t="shared" si="1"/>
        <v>255383000</v>
      </c>
      <c r="AX16" s="392">
        <f t="shared" si="1"/>
        <v>422502100</v>
      </c>
      <c r="AY16" s="392">
        <f>+Q16-R16</f>
        <v>8224200</v>
      </c>
      <c r="BA16" s="392">
        <f>+'[3]Actividades'!O16-O16</f>
        <v>129219320</v>
      </c>
      <c r="BB16" s="392">
        <f>+'[3]Actividades'!P16-P16</f>
        <v>181567954</v>
      </c>
      <c r="BC16" s="392">
        <f>+'[3]Actividades'!Q16-Q16</f>
        <v>32426032</v>
      </c>
      <c r="BD16" s="392">
        <f>+'[3]Actividades'!R16-R16</f>
        <v>40650232</v>
      </c>
    </row>
    <row r="17" spans="1:56" s="6" customFormat="1" ht="409.5" outlineLevel="2">
      <c r="A17" s="378"/>
      <c r="B17" s="378" t="s">
        <v>217</v>
      </c>
      <c r="C17" s="379">
        <v>872</v>
      </c>
      <c r="D17" s="380" t="s">
        <v>221</v>
      </c>
      <c r="E17" s="379">
        <v>3</v>
      </c>
      <c r="F17" s="380" t="s">
        <v>264</v>
      </c>
      <c r="G17" s="381" t="s">
        <v>26</v>
      </c>
      <c r="H17" s="382"/>
      <c r="I17" s="382"/>
      <c r="J17" s="380" t="s">
        <v>40</v>
      </c>
      <c r="K17" s="381">
        <v>6</v>
      </c>
      <c r="L17" s="393">
        <v>0</v>
      </c>
      <c r="M17" s="385">
        <v>453380610</v>
      </c>
      <c r="N17" s="387">
        <v>171740000</v>
      </c>
      <c r="O17" s="387">
        <v>171740000</v>
      </c>
      <c r="P17" s="387">
        <v>26407334</v>
      </c>
      <c r="Q17" s="385">
        <v>53540100</v>
      </c>
      <c r="R17" s="387">
        <f>15903000+11132100+9365100+2650500</f>
        <v>39050700</v>
      </c>
      <c r="S17" s="388" t="s">
        <v>265</v>
      </c>
      <c r="T17" s="394"/>
      <c r="U17" s="387">
        <f t="shared" si="0"/>
        <v>171740000</v>
      </c>
      <c r="V17" s="387">
        <f t="shared" si="0"/>
        <v>171740000</v>
      </c>
      <c r="W17" s="390">
        <f>IF(U17=0,"",V17/U17)</f>
        <v>1</v>
      </c>
      <c r="X17" s="391"/>
      <c r="Y17" s="391"/>
      <c r="Z17" s="390"/>
      <c r="AA17" s="391"/>
      <c r="AB17" s="391"/>
      <c r="AC17" s="390"/>
      <c r="AD17" s="391"/>
      <c r="AE17" s="391"/>
      <c r="AF17" s="390"/>
      <c r="AG17" s="391"/>
      <c r="AH17" s="391"/>
      <c r="AI17" s="390"/>
      <c r="AJ17" s="391"/>
      <c r="AK17" s="391"/>
      <c r="AL17" s="390"/>
      <c r="AM17" s="391"/>
      <c r="AN17" s="391"/>
      <c r="AO17" s="390"/>
      <c r="AP17" s="391"/>
      <c r="AQ17" s="391"/>
      <c r="AR17" s="390"/>
      <c r="AS17" s="391"/>
      <c r="AT17" s="391"/>
      <c r="AU17" s="390"/>
      <c r="AW17" s="392">
        <f t="shared" si="1"/>
        <v>0</v>
      </c>
      <c r="AX17" s="392" t="e">
        <f>+O17-#REF!</f>
        <v>#REF!</v>
      </c>
      <c r="AY17" s="392">
        <f>+Q17-R17</f>
        <v>14489400</v>
      </c>
      <c r="BA17" s="392">
        <f>+'[3]Actividades'!O17-O17</f>
        <v>278172000</v>
      </c>
      <c r="BB17" s="392" t="e">
        <f>+'[3]Actividades'!P17-#REF!</f>
        <v>#REF!</v>
      </c>
      <c r="BC17" s="392">
        <f>+'[3]Actividades'!Q17-Q17</f>
        <v>1658566</v>
      </c>
      <c r="BD17" s="392">
        <f>+'[3]Actividades'!R17-R17</f>
        <v>16147966</v>
      </c>
    </row>
    <row r="18" spans="1:56" s="403" customFormat="1" ht="15">
      <c r="A18" s="395" t="s">
        <v>266</v>
      </c>
      <c r="B18" s="395"/>
      <c r="C18" s="396"/>
      <c r="D18" s="396"/>
      <c r="E18" s="396"/>
      <c r="F18" s="397"/>
      <c r="G18" s="397"/>
      <c r="H18" s="397"/>
      <c r="I18" s="397"/>
      <c r="J18" s="396"/>
      <c r="K18" s="398"/>
      <c r="L18" s="399"/>
      <c r="M18" s="400">
        <f aca="true" t="shared" si="2" ref="M18:V18">SUBTOTAL(9,M15:M17)</f>
        <v>1000407000</v>
      </c>
      <c r="N18" s="400">
        <f t="shared" si="2"/>
        <v>965391000</v>
      </c>
      <c r="O18" s="401">
        <f t="shared" si="2"/>
        <v>710008000</v>
      </c>
      <c r="P18" s="400">
        <f>SUBTOTAL(9,P15:P17)</f>
        <v>93421234</v>
      </c>
      <c r="Q18" s="400">
        <f t="shared" si="2"/>
        <v>106777267</v>
      </c>
      <c r="R18" s="400">
        <f t="shared" si="2"/>
        <v>84063667</v>
      </c>
      <c r="S18" s="400">
        <f t="shared" si="2"/>
        <v>0</v>
      </c>
      <c r="T18" s="400">
        <f t="shared" si="2"/>
        <v>0</v>
      </c>
      <c r="U18" s="400">
        <f t="shared" si="2"/>
        <v>965391000</v>
      </c>
      <c r="V18" s="400">
        <f t="shared" si="2"/>
        <v>710008000</v>
      </c>
      <c r="W18" s="402"/>
      <c r="X18" s="400">
        <f>SUBTOTAL(9,X15:X17)</f>
        <v>0</v>
      </c>
      <c r="Y18" s="400">
        <f>SUBTOTAL(9,Y15:Y17)</f>
        <v>0</v>
      </c>
      <c r="Z18" s="400"/>
      <c r="AA18" s="400">
        <f>SUBTOTAL(9,AA15:AA17)</f>
        <v>0</v>
      </c>
      <c r="AB18" s="400">
        <f>SUBTOTAL(9,AB15:AB17)</f>
        <v>0</v>
      </c>
      <c r="AC18" s="400"/>
      <c r="AD18" s="400">
        <f>SUBTOTAL(9,AD15:AD17)</f>
        <v>0</v>
      </c>
      <c r="AE18" s="400">
        <f>SUBTOTAL(9,AE15:AE17)</f>
        <v>0</v>
      </c>
      <c r="AF18" s="400"/>
      <c r="AG18" s="400">
        <f>SUBTOTAL(9,AG15:AG17)</f>
        <v>0</v>
      </c>
      <c r="AH18" s="400">
        <f>SUBTOTAL(9,AH15:AH17)</f>
        <v>0</v>
      </c>
      <c r="AI18" s="400"/>
      <c r="AJ18" s="400">
        <f>SUBTOTAL(9,AJ15:AJ17)</f>
        <v>0</v>
      </c>
      <c r="AK18" s="400">
        <f>SUBTOTAL(9,AK15:AK17)</f>
        <v>0</v>
      </c>
      <c r="AL18" s="400"/>
      <c r="AM18" s="400">
        <f>SUBTOTAL(9,AM15:AM17)</f>
        <v>0</v>
      </c>
      <c r="AN18" s="400">
        <f>SUBTOTAL(9,AN15:AN17)</f>
        <v>0</v>
      </c>
      <c r="AO18" s="400"/>
      <c r="AP18" s="400">
        <f>SUBTOTAL(9,AP15:AP17)</f>
        <v>0</v>
      </c>
      <c r="AQ18" s="400">
        <f>SUBTOTAL(9,AQ15:AQ17)</f>
        <v>0</v>
      </c>
      <c r="AR18" s="400"/>
      <c r="AS18" s="400">
        <f>SUBTOTAL(9,AS15:AS17)</f>
        <v>0</v>
      </c>
      <c r="AT18" s="400">
        <f>SUBTOTAL(9,AT15:AT17)</f>
        <v>0</v>
      </c>
      <c r="AU18" s="400"/>
      <c r="AW18" s="392">
        <f t="shared" si="1"/>
        <v>255383000</v>
      </c>
      <c r="AX18" s="392">
        <f t="shared" si="1"/>
        <v>616586766</v>
      </c>
      <c r="AY18" s="392">
        <f>+Q18-R18</f>
        <v>22713600</v>
      </c>
      <c r="AZ18" s="6"/>
      <c r="BA18" s="392">
        <f>+'[3]Actividades'!O18-O18</f>
        <v>398942320</v>
      </c>
      <c r="BB18" s="392">
        <f>+'[3]Actividades'!P18-P18</f>
        <v>366202220</v>
      </c>
      <c r="BC18" s="392">
        <f>+'[3]Actividades'!Q18-Q18</f>
        <v>43372165</v>
      </c>
      <c r="BD18" s="392">
        <f>+'[3]Actividades'!R18-R18</f>
        <v>66085765</v>
      </c>
    </row>
    <row r="19" spans="13:56" ht="15">
      <c r="M19" s="404"/>
      <c r="N19" s="405"/>
      <c r="O19" s="406"/>
      <c r="P19" s="404"/>
      <c r="Q19" s="404"/>
      <c r="R19" s="404"/>
      <c r="U19" s="407"/>
      <c r="V19" s="407"/>
      <c r="AW19" s="392"/>
      <c r="AX19" s="392"/>
      <c r="AY19" s="392"/>
      <c r="AZ19" s="6"/>
      <c r="BA19" s="392"/>
      <c r="BB19" s="392"/>
      <c r="BC19" s="392"/>
      <c r="BD19" s="392"/>
    </row>
    <row r="20" spans="13:56" ht="15">
      <c r="M20" s="404"/>
      <c r="N20" s="404"/>
      <c r="O20" s="404"/>
      <c r="P20" s="404"/>
      <c r="Q20" s="404"/>
      <c r="R20" s="404"/>
      <c r="U20" s="407"/>
      <c r="V20" s="407"/>
      <c r="AW20" s="392"/>
      <c r="AX20" s="392"/>
      <c r="AY20" s="392"/>
      <c r="AZ20" s="6"/>
      <c r="BA20" s="392"/>
      <c r="BB20" s="392"/>
      <c r="BC20" s="392"/>
      <c r="BD20" s="392"/>
    </row>
    <row r="21" spans="14:56" ht="15">
      <c r="N21" s="408"/>
      <c r="O21" s="409"/>
      <c r="Q21" s="407"/>
      <c r="R21" s="410"/>
      <c r="U21" s="407"/>
      <c r="V21" s="407"/>
      <c r="AW21" s="392"/>
      <c r="AX21" s="392"/>
      <c r="AY21" s="392"/>
      <c r="AZ21" s="6"/>
      <c r="BA21" s="392"/>
      <c r="BB21" s="392"/>
      <c r="BC21" s="392"/>
      <c r="BD21" s="392"/>
    </row>
    <row r="22" spans="14:56" ht="15">
      <c r="N22" s="411"/>
      <c r="O22" s="412"/>
      <c r="AW22" s="392"/>
      <c r="AX22" s="392"/>
      <c r="AY22" s="392"/>
      <c r="AZ22" s="6"/>
      <c r="BA22" s="392"/>
      <c r="BB22" s="392"/>
      <c r="BC22" s="392"/>
      <c r="BD22" s="392"/>
    </row>
    <row r="25" ht="15">
      <c r="N25" s="411"/>
    </row>
    <row r="26" ht="15">
      <c r="N26" s="411"/>
    </row>
    <row r="27" ht="15">
      <c r="N27" s="411"/>
    </row>
    <row r="28" ht="15">
      <c r="N28" s="411"/>
    </row>
    <row r="29" ht="15">
      <c r="N29" s="411"/>
    </row>
    <row r="30" ht="15">
      <c r="N30" s="411"/>
    </row>
  </sheetData>
  <sheetProtection password="C61F" sheet="1"/>
  <autoFilter ref="A14:AU17"/>
  <mergeCells count="31">
    <mergeCell ref="AM13:AO13"/>
    <mergeCell ref="AP13:AR13"/>
    <mergeCell ref="AS13:AU13"/>
    <mergeCell ref="U13:W13"/>
    <mergeCell ref="X13:Z13"/>
    <mergeCell ref="AA13:AC13"/>
    <mergeCell ref="AD13:AF13"/>
    <mergeCell ref="AG13:AI13"/>
    <mergeCell ref="AJ13:AL13"/>
    <mergeCell ref="K13:L13"/>
    <mergeCell ref="M13:N13"/>
    <mergeCell ref="O13:P13"/>
    <mergeCell ref="Q13:R13"/>
    <mergeCell ref="S13:S14"/>
    <mergeCell ref="T13:T14"/>
    <mergeCell ref="AB1:AE8"/>
    <mergeCell ref="AH1:AJ8"/>
    <mergeCell ref="AK1:AR8"/>
    <mergeCell ref="AS1:AV8"/>
    <mergeCell ref="AW1:AY8"/>
    <mergeCell ref="B13:B14"/>
    <mergeCell ref="C13:C14"/>
    <mergeCell ref="E13:E14"/>
    <mergeCell ref="F13:F14"/>
    <mergeCell ref="G13:I13"/>
    <mergeCell ref="A1:C8"/>
    <mergeCell ref="D1:I8"/>
    <mergeCell ref="J1:M8"/>
    <mergeCell ref="N1:O8"/>
    <mergeCell ref="P1:R8"/>
    <mergeCell ref="S1:AA8"/>
  </mergeCells>
  <printOptions/>
  <pageMargins left="0.7" right="0.7" top="0.75" bottom="0.75" header="0.3" footer="0.3"/>
  <pageSetup fitToWidth="0" fitToHeight="1" orientation="landscape" scale="44" r:id="rId2"/>
  <drawing r:id="rId1"/>
</worksheet>
</file>

<file path=xl/worksheets/sheet3.xml><?xml version="1.0" encoding="utf-8"?>
<worksheet xmlns="http://schemas.openxmlformats.org/spreadsheetml/2006/main" xmlns:r="http://schemas.openxmlformats.org/officeDocument/2006/relationships">
  <sheetPr codeName="Hoja4">
    <tabColor rgb="FF00B0F0"/>
  </sheetPr>
  <dimension ref="A1:BB404"/>
  <sheetViews>
    <sheetView showGridLines="0" zoomScalePageLayoutView="0" workbookViewId="0" topLeftCell="H10">
      <selection activeCell="H32" sqref="H32:H47"/>
    </sheetView>
  </sheetViews>
  <sheetFormatPr defaultColWidth="11.421875" defaultRowHeight="14.25" customHeight="1"/>
  <cols>
    <col min="1" max="1" width="5.421875" style="5" hidden="1" customWidth="1"/>
    <col min="2" max="2" width="6.57421875" style="5" hidden="1" customWidth="1"/>
    <col min="3" max="3" width="7.00390625" style="5" hidden="1" customWidth="1"/>
    <col min="4" max="4" width="6.00390625" style="5" hidden="1" customWidth="1"/>
    <col min="5" max="5" width="6.8515625" style="5" hidden="1" customWidth="1"/>
    <col min="6" max="6" width="6.140625" style="5" hidden="1" customWidth="1"/>
    <col min="7" max="7" width="7.00390625" style="5" hidden="1" customWidth="1"/>
    <col min="8" max="8" width="9.28125" style="6" customWidth="1"/>
    <col min="9" max="9" width="40.7109375" style="6" customWidth="1"/>
    <col min="10" max="10" width="3.57421875" style="6" customWidth="1"/>
    <col min="11" max="11" width="2.7109375" style="6" customWidth="1"/>
    <col min="12" max="12" width="2.28125" style="6" customWidth="1"/>
    <col min="13" max="13" width="4.00390625" style="6" customWidth="1"/>
    <col min="14" max="14" width="17.140625" style="6" customWidth="1"/>
    <col min="15" max="15" width="8.8515625" style="6" customWidth="1"/>
    <col min="16" max="16" width="7.421875" style="6" customWidth="1"/>
    <col min="17" max="17" width="18.421875" style="5" hidden="1" customWidth="1"/>
    <col min="18" max="18" width="16.7109375" style="5" hidden="1" customWidth="1"/>
    <col min="19" max="19" width="18.7109375" style="5" hidden="1" customWidth="1"/>
    <col min="20" max="20" width="19.7109375" style="5" hidden="1" customWidth="1"/>
    <col min="21" max="22" width="16.8515625" style="5" hidden="1" customWidth="1"/>
    <col min="23" max="23" width="32.57421875" style="5" customWidth="1"/>
    <col min="24" max="24" width="29.421875" style="5" customWidth="1"/>
    <col min="25" max="26" width="35.00390625" style="5" customWidth="1"/>
    <col min="27" max="27" width="50.7109375" style="5" customWidth="1"/>
    <col min="28" max="28" width="35.28125" style="5" customWidth="1"/>
    <col min="29" max="44" width="10.7109375" style="5" customWidth="1"/>
    <col min="45" max="48" width="11.421875" style="5" customWidth="1"/>
    <col min="49" max="50" width="14.8515625" style="5" customWidth="1"/>
    <col min="51" max="51" width="14.421875" style="5" customWidth="1"/>
    <col min="52" max="52" width="18.00390625" style="5" customWidth="1"/>
    <col min="53" max="54" width="14.00390625" style="5" customWidth="1"/>
    <col min="55" max="57" width="11.421875" style="5" customWidth="1"/>
    <col min="58" max="75" width="11.421875" style="6" customWidth="1"/>
    <col min="76" max="16384" width="11.421875" style="5" customWidth="1"/>
  </cols>
  <sheetData>
    <row r="1" spans="1:44" s="244" customFormat="1" ht="14.25" customHeight="1">
      <c r="A1" s="228"/>
      <c r="B1" s="229"/>
      <c r="C1" s="229"/>
      <c r="D1" s="230"/>
      <c r="E1" s="231" t="s">
        <v>267</v>
      </c>
      <c r="F1" s="232"/>
      <c r="G1" s="232"/>
      <c r="H1" s="232"/>
      <c r="I1" s="232"/>
      <c r="J1" s="232"/>
      <c r="K1" s="232"/>
      <c r="L1" s="232"/>
      <c r="M1" s="232"/>
      <c r="N1" s="233"/>
      <c r="O1" s="234" t="s">
        <v>190</v>
      </c>
      <c r="P1" s="235"/>
      <c r="Q1" s="235"/>
      <c r="R1" s="236"/>
      <c r="S1" s="237"/>
      <c r="T1" s="238"/>
      <c r="U1" s="238"/>
      <c r="V1" s="239"/>
      <c r="W1" s="237"/>
      <c r="X1" s="238"/>
      <c r="Y1" s="240"/>
      <c r="Z1" s="241" t="s">
        <v>268</v>
      </c>
      <c r="AA1" s="242"/>
      <c r="AB1" s="242"/>
      <c r="AC1" s="242"/>
      <c r="AD1" s="242"/>
      <c r="AE1" s="242"/>
      <c r="AF1" s="242"/>
      <c r="AG1" s="242"/>
      <c r="AH1" s="242"/>
      <c r="AI1" s="242"/>
      <c r="AJ1" s="243"/>
      <c r="AK1" s="234" t="s">
        <v>190</v>
      </c>
      <c r="AL1" s="235"/>
      <c r="AM1" s="235"/>
      <c r="AN1" s="236"/>
      <c r="AO1" s="237"/>
      <c r="AP1" s="238"/>
      <c r="AQ1" s="238"/>
      <c r="AR1" s="239"/>
    </row>
    <row r="2" spans="1:44" s="244" customFormat="1" ht="14.25" customHeight="1">
      <c r="A2" s="245"/>
      <c r="B2" s="246"/>
      <c r="C2" s="246"/>
      <c r="D2" s="247"/>
      <c r="E2" s="248"/>
      <c r="F2" s="249"/>
      <c r="G2" s="249"/>
      <c r="H2" s="249"/>
      <c r="I2" s="249"/>
      <c r="J2" s="249"/>
      <c r="K2" s="249"/>
      <c r="L2" s="249"/>
      <c r="M2" s="249"/>
      <c r="N2" s="250"/>
      <c r="O2" s="251"/>
      <c r="P2" s="252"/>
      <c r="Q2" s="252"/>
      <c r="R2" s="253"/>
      <c r="S2" s="254"/>
      <c r="T2" s="255"/>
      <c r="U2" s="255"/>
      <c r="V2" s="256"/>
      <c r="W2" s="254"/>
      <c r="X2" s="255"/>
      <c r="Y2" s="257"/>
      <c r="Z2" s="258"/>
      <c r="AA2" s="259"/>
      <c r="AB2" s="259"/>
      <c r="AC2" s="259"/>
      <c r="AD2" s="259"/>
      <c r="AE2" s="259"/>
      <c r="AF2" s="259"/>
      <c r="AG2" s="259"/>
      <c r="AH2" s="259"/>
      <c r="AI2" s="259"/>
      <c r="AJ2" s="260"/>
      <c r="AK2" s="251"/>
      <c r="AL2" s="252"/>
      <c r="AM2" s="252"/>
      <c r="AN2" s="253"/>
      <c r="AO2" s="254"/>
      <c r="AP2" s="255"/>
      <c r="AQ2" s="255"/>
      <c r="AR2" s="256"/>
    </row>
    <row r="3" spans="1:44" s="244" customFormat="1" ht="14.25" customHeight="1">
      <c r="A3" s="245"/>
      <c r="B3" s="246"/>
      <c r="C3" s="246"/>
      <c r="D3" s="247"/>
      <c r="E3" s="248"/>
      <c r="F3" s="249"/>
      <c r="G3" s="249"/>
      <c r="H3" s="249"/>
      <c r="I3" s="249"/>
      <c r="J3" s="249"/>
      <c r="K3" s="249"/>
      <c r="L3" s="249"/>
      <c r="M3" s="249"/>
      <c r="N3" s="250"/>
      <c r="O3" s="251"/>
      <c r="P3" s="252"/>
      <c r="Q3" s="252"/>
      <c r="R3" s="253"/>
      <c r="S3" s="254"/>
      <c r="T3" s="255"/>
      <c r="U3" s="255"/>
      <c r="V3" s="256"/>
      <c r="W3" s="254"/>
      <c r="X3" s="255"/>
      <c r="Y3" s="257"/>
      <c r="Z3" s="258"/>
      <c r="AA3" s="259"/>
      <c r="AB3" s="259"/>
      <c r="AC3" s="259"/>
      <c r="AD3" s="259"/>
      <c r="AE3" s="259"/>
      <c r="AF3" s="259"/>
      <c r="AG3" s="259"/>
      <c r="AH3" s="259"/>
      <c r="AI3" s="259"/>
      <c r="AJ3" s="260"/>
      <c r="AK3" s="251"/>
      <c r="AL3" s="252"/>
      <c r="AM3" s="252"/>
      <c r="AN3" s="253"/>
      <c r="AO3" s="254"/>
      <c r="AP3" s="255"/>
      <c r="AQ3" s="255"/>
      <c r="AR3" s="256"/>
    </row>
    <row r="4" spans="1:44" s="244" customFormat="1" ht="14.25" customHeight="1">
      <c r="A4" s="245"/>
      <c r="B4" s="246"/>
      <c r="C4" s="246"/>
      <c r="D4" s="247"/>
      <c r="E4" s="248"/>
      <c r="F4" s="249"/>
      <c r="G4" s="249"/>
      <c r="H4" s="249"/>
      <c r="I4" s="249"/>
      <c r="J4" s="249"/>
      <c r="K4" s="249"/>
      <c r="L4" s="249"/>
      <c r="M4" s="249"/>
      <c r="N4" s="250"/>
      <c r="O4" s="251"/>
      <c r="P4" s="252"/>
      <c r="Q4" s="252"/>
      <c r="R4" s="253"/>
      <c r="S4" s="254"/>
      <c r="T4" s="255"/>
      <c r="U4" s="255"/>
      <c r="V4" s="256"/>
      <c r="W4" s="254"/>
      <c r="X4" s="255"/>
      <c r="Y4" s="257"/>
      <c r="Z4" s="258"/>
      <c r="AA4" s="259"/>
      <c r="AB4" s="259"/>
      <c r="AC4" s="259"/>
      <c r="AD4" s="259"/>
      <c r="AE4" s="259"/>
      <c r="AF4" s="259"/>
      <c r="AG4" s="259"/>
      <c r="AH4" s="259"/>
      <c r="AI4" s="259"/>
      <c r="AJ4" s="260"/>
      <c r="AK4" s="251"/>
      <c r="AL4" s="252"/>
      <c r="AM4" s="252"/>
      <c r="AN4" s="253"/>
      <c r="AO4" s="254"/>
      <c r="AP4" s="255"/>
      <c r="AQ4" s="255"/>
      <c r="AR4" s="256"/>
    </row>
    <row r="5" spans="1:44" s="244" customFormat="1" ht="14.25" customHeight="1">
      <c r="A5" s="245"/>
      <c r="B5" s="246"/>
      <c r="C5" s="246"/>
      <c r="D5" s="247"/>
      <c r="E5" s="248"/>
      <c r="F5" s="249"/>
      <c r="G5" s="249"/>
      <c r="H5" s="249"/>
      <c r="I5" s="249"/>
      <c r="J5" s="249"/>
      <c r="K5" s="249"/>
      <c r="L5" s="249"/>
      <c r="M5" s="249"/>
      <c r="N5" s="250"/>
      <c r="O5" s="251"/>
      <c r="P5" s="252"/>
      <c r="Q5" s="252"/>
      <c r="R5" s="253"/>
      <c r="S5" s="254"/>
      <c r="T5" s="255"/>
      <c r="U5" s="255"/>
      <c r="V5" s="256"/>
      <c r="W5" s="254"/>
      <c r="X5" s="255"/>
      <c r="Y5" s="257"/>
      <c r="Z5" s="258"/>
      <c r="AA5" s="259"/>
      <c r="AB5" s="259"/>
      <c r="AC5" s="259"/>
      <c r="AD5" s="259"/>
      <c r="AE5" s="259"/>
      <c r="AF5" s="259"/>
      <c r="AG5" s="259"/>
      <c r="AH5" s="259"/>
      <c r="AI5" s="259"/>
      <c r="AJ5" s="260"/>
      <c r="AK5" s="251"/>
      <c r="AL5" s="252"/>
      <c r="AM5" s="252"/>
      <c r="AN5" s="253"/>
      <c r="AO5" s="254"/>
      <c r="AP5" s="255"/>
      <c r="AQ5" s="255"/>
      <c r="AR5" s="256"/>
    </row>
    <row r="6" spans="1:44" s="244" customFormat="1" ht="14.25" customHeight="1">
      <c r="A6" s="245"/>
      <c r="B6" s="246"/>
      <c r="C6" s="246"/>
      <c r="D6" s="247"/>
      <c r="E6" s="248"/>
      <c r="F6" s="249"/>
      <c r="G6" s="249"/>
      <c r="H6" s="249"/>
      <c r="I6" s="249"/>
      <c r="J6" s="249"/>
      <c r="K6" s="249"/>
      <c r="L6" s="249"/>
      <c r="M6" s="249"/>
      <c r="N6" s="250"/>
      <c r="O6" s="251"/>
      <c r="P6" s="252"/>
      <c r="Q6" s="252"/>
      <c r="R6" s="253"/>
      <c r="S6" s="254"/>
      <c r="T6" s="255"/>
      <c r="U6" s="255"/>
      <c r="V6" s="256"/>
      <c r="W6" s="254"/>
      <c r="X6" s="255"/>
      <c r="Y6" s="257"/>
      <c r="Z6" s="258"/>
      <c r="AA6" s="259"/>
      <c r="AB6" s="259"/>
      <c r="AC6" s="259"/>
      <c r="AD6" s="259"/>
      <c r="AE6" s="259"/>
      <c r="AF6" s="259"/>
      <c r="AG6" s="259"/>
      <c r="AH6" s="259"/>
      <c r="AI6" s="259"/>
      <c r="AJ6" s="260"/>
      <c r="AK6" s="251"/>
      <c r="AL6" s="252"/>
      <c r="AM6" s="252"/>
      <c r="AN6" s="253"/>
      <c r="AO6" s="254"/>
      <c r="AP6" s="255"/>
      <c r="AQ6" s="255"/>
      <c r="AR6" s="256"/>
    </row>
    <row r="7" spans="1:44" s="244" customFormat="1" ht="14.25" customHeight="1">
      <c r="A7" s="245"/>
      <c r="B7" s="246"/>
      <c r="C7" s="246"/>
      <c r="D7" s="247"/>
      <c r="E7" s="248"/>
      <c r="F7" s="249"/>
      <c r="G7" s="249"/>
      <c r="H7" s="249"/>
      <c r="I7" s="249"/>
      <c r="J7" s="249"/>
      <c r="K7" s="249"/>
      <c r="L7" s="249"/>
      <c r="M7" s="249"/>
      <c r="N7" s="250"/>
      <c r="O7" s="251"/>
      <c r="P7" s="252"/>
      <c r="Q7" s="252"/>
      <c r="R7" s="253"/>
      <c r="S7" s="254"/>
      <c r="T7" s="255"/>
      <c r="U7" s="255"/>
      <c r="V7" s="256"/>
      <c r="W7" s="254"/>
      <c r="X7" s="255"/>
      <c r="Y7" s="257"/>
      <c r="Z7" s="258"/>
      <c r="AA7" s="259"/>
      <c r="AB7" s="259"/>
      <c r="AC7" s="259"/>
      <c r="AD7" s="259"/>
      <c r="AE7" s="259"/>
      <c r="AF7" s="259"/>
      <c r="AG7" s="259"/>
      <c r="AH7" s="259"/>
      <c r="AI7" s="259"/>
      <c r="AJ7" s="260"/>
      <c r="AK7" s="251"/>
      <c r="AL7" s="252"/>
      <c r="AM7" s="252"/>
      <c r="AN7" s="253"/>
      <c r="AO7" s="254"/>
      <c r="AP7" s="255"/>
      <c r="AQ7" s="255"/>
      <c r="AR7" s="256"/>
    </row>
    <row r="8" spans="1:44" s="244" customFormat="1" ht="14.25" customHeight="1" thickBot="1">
      <c r="A8" s="261"/>
      <c r="B8" s="262"/>
      <c r="C8" s="262"/>
      <c r="D8" s="263"/>
      <c r="E8" s="264"/>
      <c r="F8" s="265"/>
      <c r="G8" s="265"/>
      <c r="H8" s="265"/>
      <c r="I8" s="265"/>
      <c r="J8" s="265"/>
      <c r="K8" s="265"/>
      <c r="L8" s="265"/>
      <c r="M8" s="265"/>
      <c r="N8" s="266"/>
      <c r="O8" s="267"/>
      <c r="P8" s="268"/>
      <c r="Q8" s="268"/>
      <c r="R8" s="269"/>
      <c r="S8" s="270"/>
      <c r="T8" s="271"/>
      <c r="U8" s="271"/>
      <c r="V8" s="272"/>
      <c r="W8" s="270"/>
      <c r="X8" s="271"/>
      <c r="Y8" s="273"/>
      <c r="Z8" s="274"/>
      <c r="AA8" s="275"/>
      <c r="AB8" s="275"/>
      <c r="AC8" s="275"/>
      <c r="AD8" s="275"/>
      <c r="AE8" s="275"/>
      <c r="AF8" s="275"/>
      <c r="AG8" s="275"/>
      <c r="AH8" s="275"/>
      <c r="AI8" s="275"/>
      <c r="AJ8" s="276"/>
      <c r="AK8" s="267"/>
      <c r="AL8" s="268"/>
      <c r="AM8" s="268"/>
      <c r="AN8" s="269"/>
      <c r="AO8" s="270"/>
      <c r="AP8" s="271"/>
      <c r="AQ8" s="271"/>
      <c r="AR8" s="272"/>
    </row>
    <row r="10" spans="9:10" ht="14.25" customHeight="1">
      <c r="I10" s="413" t="s">
        <v>269</v>
      </c>
      <c r="J10" s="413"/>
    </row>
    <row r="11" spans="9:10" ht="14.25" customHeight="1">
      <c r="I11" s="413" t="s">
        <v>270</v>
      </c>
      <c r="J11" s="413"/>
    </row>
    <row r="12" spans="9:10" ht="14.25" customHeight="1">
      <c r="I12" s="413" t="s">
        <v>271</v>
      </c>
      <c r="J12" s="413"/>
    </row>
    <row r="13" spans="9:10" ht="14.25" customHeight="1">
      <c r="I13" s="413" t="s">
        <v>272</v>
      </c>
      <c r="J13" s="413"/>
    </row>
    <row r="14" spans="7:54" ht="14.25" customHeight="1">
      <c r="G14" s="367" t="s">
        <v>196</v>
      </c>
      <c r="H14" s="370" t="s">
        <v>197</v>
      </c>
      <c r="I14" s="370" t="s">
        <v>9</v>
      </c>
      <c r="J14" s="222" t="s">
        <v>136</v>
      </c>
      <c r="K14" s="206"/>
      <c r="L14" s="207"/>
      <c r="M14" s="195"/>
      <c r="N14" s="195"/>
      <c r="O14" s="205" t="s">
        <v>0</v>
      </c>
      <c r="P14" s="205"/>
      <c r="Q14" s="205" t="s">
        <v>273</v>
      </c>
      <c r="R14" s="205"/>
      <c r="S14" s="205" t="s">
        <v>146</v>
      </c>
      <c r="T14" s="205"/>
      <c r="U14" s="205" t="s">
        <v>140</v>
      </c>
      <c r="V14" s="205"/>
      <c r="W14" s="196" t="s">
        <v>141</v>
      </c>
      <c r="X14" s="196" t="s">
        <v>142</v>
      </c>
      <c r="Y14" s="196" t="s">
        <v>143</v>
      </c>
      <c r="Z14" s="196" t="s">
        <v>274</v>
      </c>
      <c r="AA14" s="196" t="s">
        <v>2</v>
      </c>
      <c r="AB14" s="196" t="s">
        <v>275</v>
      </c>
      <c r="AC14" s="196" t="s">
        <v>200</v>
      </c>
      <c r="AD14" s="196"/>
      <c r="AE14" s="196" t="s">
        <v>201</v>
      </c>
      <c r="AF14" s="196"/>
      <c r="AG14" s="196" t="s">
        <v>202</v>
      </c>
      <c r="AH14" s="196"/>
      <c r="AI14" s="196" t="s">
        <v>203</v>
      </c>
      <c r="AJ14" s="196"/>
      <c r="AK14" s="196" t="s">
        <v>204</v>
      </c>
      <c r="AL14" s="196"/>
      <c r="AM14" s="196" t="s">
        <v>205</v>
      </c>
      <c r="AN14" s="196"/>
      <c r="AO14" s="196" t="s">
        <v>206</v>
      </c>
      <c r="AP14" s="196"/>
      <c r="AQ14" s="196" t="s">
        <v>207</v>
      </c>
      <c r="AR14" s="196"/>
      <c r="AW14" s="200" t="s">
        <v>273</v>
      </c>
      <c r="AX14" s="200"/>
      <c r="AY14" s="200" t="s">
        <v>146</v>
      </c>
      <c r="AZ14" s="200"/>
      <c r="BA14" s="200" t="s">
        <v>140</v>
      </c>
      <c r="BB14" s="200"/>
    </row>
    <row r="15" spans="1:54" ht="46.5" customHeight="1" thickBot="1">
      <c r="A15" s="1" t="s">
        <v>208</v>
      </c>
      <c r="B15" s="1" t="s">
        <v>197</v>
      </c>
      <c r="C15" s="1" t="s">
        <v>209</v>
      </c>
      <c r="D15" s="1" t="s">
        <v>210</v>
      </c>
      <c r="E15" s="1" t="s">
        <v>211</v>
      </c>
      <c r="F15" s="1" t="s">
        <v>212</v>
      </c>
      <c r="G15" s="375"/>
      <c r="H15" s="370"/>
      <c r="I15" s="370"/>
      <c r="J15" s="4" t="s">
        <v>4</v>
      </c>
      <c r="K15" s="4" t="s">
        <v>5</v>
      </c>
      <c r="L15" s="4" t="s">
        <v>6</v>
      </c>
      <c r="M15" s="4" t="s">
        <v>137</v>
      </c>
      <c r="N15" s="4" t="s">
        <v>7</v>
      </c>
      <c r="O15" s="3" t="s">
        <v>115</v>
      </c>
      <c r="P15" s="3" t="s">
        <v>213</v>
      </c>
      <c r="Q15" s="3" t="s">
        <v>149</v>
      </c>
      <c r="R15" s="3" t="s">
        <v>150</v>
      </c>
      <c r="S15" s="3" t="s">
        <v>151</v>
      </c>
      <c r="T15" s="3" t="s">
        <v>152</v>
      </c>
      <c r="U15" s="3" t="s">
        <v>147</v>
      </c>
      <c r="V15" s="3" t="s">
        <v>152</v>
      </c>
      <c r="W15" s="196"/>
      <c r="X15" s="196"/>
      <c r="Y15" s="196"/>
      <c r="Z15" s="196"/>
      <c r="AA15" s="196"/>
      <c r="AB15" s="196"/>
      <c r="AC15" s="3" t="s">
        <v>214</v>
      </c>
      <c r="AD15" s="3" t="s">
        <v>215</v>
      </c>
      <c r="AE15" s="3" t="s">
        <v>214</v>
      </c>
      <c r="AF15" s="3" t="s">
        <v>215</v>
      </c>
      <c r="AG15" s="3" t="s">
        <v>214</v>
      </c>
      <c r="AH15" s="3" t="s">
        <v>215</v>
      </c>
      <c r="AI15" s="3" t="s">
        <v>214</v>
      </c>
      <c r="AJ15" s="3" t="s">
        <v>215</v>
      </c>
      <c r="AK15" s="3" t="s">
        <v>214</v>
      </c>
      <c r="AL15" s="3" t="s">
        <v>215</v>
      </c>
      <c r="AM15" s="3" t="s">
        <v>214</v>
      </c>
      <c r="AN15" s="3" t="s">
        <v>215</v>
      </c>
      <c r="AO15" s="3" t="s">
        <v>214</v>
      </c>
      <c r="AP15" s="3" t="s">
        <v>215</v>
      </c>
      <c r="AQ15" s="3" t="s">
        <v>214</v>
      </c>
      <c r="AR15" s="3" t="s">
        <v>215</v>
      </c>
      <c r="AW15" s="117" t="s">
        <v>149</v>
      </c>
      <c r="AX15" s="117" t="s">
        <v>150</v>
      </c>
      <c r="AY15" s="117" t="s">
        <v>151</v>
      </c>
      <c r="AZ15" s="117" t="s">
        <v>152</v>
      </c>
      <c r="BA15" s="117" t="s">
        <v>147</v>
      </c>
      <c r="BB15" s="117" t="s">
        <v>152</v>
      </c>
    </row>
    <row r="16" spans="1:54" s="429" customFormat="1" ht="36">
      <c r="A16" s="414" t="s">
        <v>216</v>
      </c>
      <c r="B16" s="414" t="s">
        <v>217</v>
      </c>
      <c r="C16" s="414" t="s">
        <v>218</v>
      </c>
      <c r="D16" s="414" t="s">
        <v>219</v>
      </c>
      <c r="E16" s="414" t="s">
        <v>220</v>
      </c>
      <c r="F16" s="414" t="s">
        <v>220</v>
      </c>
      <c r="G16" s="415">
        <v>11</v>
      </c>
      <c r="H16" s="416">
        <v>886</v>
      </c>
      <c r="I16" s="294" t="s">
        <v>45</v>
      </c>
      <c r="J16" s="417"/>
      <c r="K16" s="418" t="s">
        <v>26</v>
      </c>
      <c r="L16" s="418"/>
      <c r="M16" s="297"/>
      <c r="N16" s="294" t="s">
        <v>276</v>
      </c>
      <c r="O16" s="419">
        <v>0.27</v>
      </c>
      <c r="P16" s="419">
        <f>+O16/12*6</f>
        <v>0.135</v>
      </c>
      <c r="Q16" s="420">
        <f>SUMIF('Actividades inversión 886'!$B$13:$B$50,'Metas inversión 886'!$B16,'Actividades inversión 886'!M$13:M$50)</f>
        <v>524017000</v>
      </c>
      <c r="R16" s="420">
        <f>SUMIF('Actividades inversión 886'!$B$13:$B$50,'Metas inversión 886'!$B16,'Actividades inversión 886'!N$13:N$50)</f>
        <v>534902500</v>
      </c>
      <c r="S16" s="420">
        <f>SUMIF('Actividades inversión 886'!$B$13:$B$50,'Metas inversión 886'!$B16,'Actividades inversión 886'!O$13:O$50)</f>
        <v>55848000</v>
      </c>
      <c r="T16" s="420">
        <f>SUMIF('Actividades inversión 886'!$B$13:$B$50,'Metas inversión 886'!$B16,'Actividades inversión 886'!P$13:P$50)</f>
        <v>9928533</v>
      </c>
      <c r="U16" s="420">
        <f>SUMIF('Actividades inversión 886'!$B$13:$B$50,'Metas inversión 886'!$B16,'Actividades inversión 886'!Q$13:Q$50)</f>
        <v>27322533</v>
      </c>
      <c r="V16" s="420">
        <f>SUMIF('Actividades inversión 886'!$B$13:$B$50,'Metas inversión 886'!$B16,'Actividades inversión 886'!R$13:R$50)</f>
        <v>27322533</v>
      </c>
      <c r="W16" s="421" t="s">
        <v>277</v>
      </c>
      <c r="X16" s="422" t="s">
        <v>278</v>
      </c>
      <c r="Y16" s="421" t="s">
        <v>279</v>
      </c>
      <c r="Z16" s="423"/>
      <c r="AA16" s="424"/>
      <c r="AB16" s="425" t="s">
        <v>280</v>
      </c>
      <c r="AC16" s="426"/>
      <c r="AD16" s="426"/>
      <c r="AE16" s="426"/>
      <c r="AF16" s="426"/>
      <c r="AG16" s="426"/>
      <c r="AH16" s="426"/>
      <c r="AI16" s="426"/>
      <c r="AJ16" s="426"/>
      <c r="AK16" s="426"/>
      <c r="AL16" s="426"/>
      <c r="AM16" s="426"/>
      <c r="AN16" s="426"/>
      <c r="AO16" s="426"/>
      <c r="AP16" s="426"/>
      <c r="AQ16" s="427">
        <f aca="true" t="shared" si="0" ref="AQ16:AR21">+AC16+AE16+AG16+AI16+AK16+AM16+AO16</f>
        <v>0</v>
      </c>
      <c r="AR16" s="428">
        <f t="shared" si="0"/>
        <v>0</v>
      </c>
      <c r="AW16" s="430">
        <f>+'[4]99-METROPOLITANO'!N14</f>
        <v>524017000</v>
      </c>
      <c r="AX16" s="430">
        <f>+'[4]99-METROPOLITANO'!O14</f>
        <v>534902500</v>
      </c>
      <c r="AY16" s="430">
        <f>+'[4]99-METROPOLITANO'!P14</f>
        <v>55848000</v>
      </c>
      <c r="AZ16" s="430">
        <f>+'[4]99-METROPOLITANO'!Q14</f>
        <v>9928533</v>
      </c>
      <c r="BA16" s="430">
        <f>+'[4]99-METROPOLITANO'!R14</f>
        <v>27322533</v>
      </c>
      <c r="BB16" s="430">
        <f>+'[4]99-METROPOLITANO'!S14</f>
        <v>27322533</v>
      </c>
    </row>
    <row r="17" spans="1:54" s="429" customFormat="1" ht="15.75">
      <c r="A17" s="414"/>
      <c r="B17" s="414"/>
      <c r="C17" s="414"/>
      <c r="D17" s="414"/>
      <c r="E17" s="414"/>
      <c r="F17" s="414"/>
      <c r="G17" s="415"/>
      <c r="H17" s="431"/>
      <c r="I17" s="310"/>
      <c r="J17" s="432"/>
      <c r="K17" s="432"/>
      <c r="L17" s="432"/>
      <c r="M17" s="312"/>
      <c r="N17" s="310"/>
      <c r="O17" s="433"/>
      <c r="P17" s="433"/>
      <c r="Q17" s="434"/>
      <c r="R17" s="434"/>
      <c r="S17" s="434"/>
      <c r="T17" s="434"/>
      <c r="U17" s="434"/>
      <c r="V17" s="434"/>
      <c r="W17" s="435"/>
      <c r="X17" s="435"/>
      <c r="Y17" s="435"/>
      <c r="Z17" s="436"/>
      <c r="AA17" s="436"/>
      <c r="AB17" s="437" t="s">
        <v>229</v>
      </c>
      <c r="AC17" s="438"/>
      <c r="AD17" s="438"/>
      <c r="AE17" s="438"/>
      <c r="AF17" s="438"/>
      <c r="AG17" s="438"/>
      <c r="AH17" s="438"/>
      <c r="AI17" s="438"/>
      <c r="AJ17" s="438"/>
      <c r="AK17" s="438"/>
      <c r="AL17" s="438"/>
      <c r="AM17" s="438"/>
      <c r="AN17" s="438"/>
      <c r="AO17" s="438"/>
      <c r="AP17" s="438"/>
      <c r="AQ17" s="439">
        <f t="shared" si="0"/>
        <v>0</v>
      </c>
      <c r="AR17" s="440">
        <f t="shared" si="0"/>
        <v>0</v>
      </c>
      <c r="AW17" s="430"/>
      <c r="AX17" s="430"/>
      <c r="AY17" s="430"/>
      <c r="AZ17" s="430"/>
      <c r="BA17" s="430"/>
      <c r="BB17" s="430"/>
    </row>
    <row r="18" spans="1:54" s="429" customFormat="1" ht="15.75">
      <c r="A18" s="414"/>
      <c r="B18" s="414"/>
      <c r="C18" s="414"/>
      <c r="D18" s="414"/>
      <c r="E18" s="414"/>
      <c r="F18" s="414"/>
      <c r="G18" s="415"/>
      <c r="H18" s="431"/>
      <c r="I18" s="310"/>
      <c r="J18" s="432"/>
      <c r="K18" s="432"/>
      <c r="L18" s="432"/>
      <c r="M18" s="312"/>
      <c r="N18" s="310"/>
      <c r="O18" s="433"/>
      <c r="P18" s="433"/>
      <c r="Q18" s="434"/>
      <c r="R18" s="434"/>
      <c r="S18" s="434"/>
      <c r="T18" s="434"/>
      <c r="U18" s="434"/>
      <c r="V18" s="434"/>
      <c r="W18" s="435"/>
      <c r="X18" s="435"/>
      <c r="Y18" s="435"/>
      <c r="Z18" s="436"/>
      <c r="AA18" s="436"/>
      <c r="AB18" s="437" t="s">
        <v>230</v>
      </c>
      <c r="AC18" s="438"/>
      <c r="AD18" s="438"/>
      <c r="AE18" s="438"/>
      <c r="AF18" s="438"/>
      <c r="AG18" s="438"/>
      <c r="AH18" s="438"/>
      <c r="AI18" s="438"/>
      <c r="AJ18" s="438"/>
      <c r="AK18" s="438"/>
      <c r="AL18" s="438"/>
      <c r="AM18" s="438"/>
      <c r="AN18" s="438"/>
      <c r="AO18" s="438"/>
      <c r="AP18" s="438"/>
      <c r="AQ18" s="439">
        <f t="shared" si="0"/>
        <v>0</v>
      </c>
      <c r="AR18" s="440">
        <f t="shared" si="0"/>
        <v>0</v>
      </c>
      <c r="AW18" s="430"/>
      <c r="AX18" s="430"/>
      <c r="AY18" s="430"/>
      <c r="AZ18" s="430"/>
      <c r="BA18" s="430"/>
      <c r="BB18" s="430"/>
    </row>
    <row r="19" spans="1:54" s="429" customFormat="1" ht="15.75">
      <c r="A19" s="414"/>
      <c r="B19" s="414"/>
      <c r="C19" s="414"/>
      <c r="D19" s="414"/>
      <c r="E19" s="414"/>
      <c r="F19" s="414"/>
      <c r="G19" s="415"/>
      <c r="H19" s="431"/>
      <c r="I19" s="310"/>
      <c r="J19" s="432"/>
      <c r="K19" s="432"/>
      <c r="L19" s="432"/>
      <c r="M19" s="312"/>
      <c r="N19" s="310"/>
      <c r="O19" s="433"/>
      <c r="P19" s="433"/>
      <c r="Q19" s="434"/>
      <c r="R19" s="434"/>
      <c r="S19" s="434"/>
      <c r="T19" s="434"/>
      <c r="U19" s="434"/>
      <c r="V19" s="434"/>
      <c r="W19" s="435"/>
      <c r="X19" s="435"/>
      <c r="Y19" s="435"/>
      <c r="Z19" s="436"/>
      <c r="AA19" s="436"/>
      <c r="AB19" s="437" t="s">
        <v>231</v>
      </c>
      <c r="AC19" s="438"/>
      <c r="AD19" s="438"/>
      <c r="AE19" s="438"/>
      <c r="AF19" s="438"/>
      <c r="AG19" s="438"/>
      <c r="AH19" s="438"/>
      <c r="AI19" s="438"/>
      <c r="AJ19" s="438"/>
      <c r="AK19" s="438"/>
      <c r="AL19" s="438"/>
      <c r="AM19" s="438"/>
      <c r="AN19" s="438"/>
      <c r="AO19" s="438"/>
      <c r="AP19" s="438"/>
      <c r="AQ19" s="439">
        <f t="shared" si="0"/>
        <v>0</v>
      </c>
      <c r="AR19" s="440">
        <f t="shared" si="0"/>
        <v>0</v>
      </c>
      <c r="AW19" s="430"/>
      <c r="AX19" s="430"/>
      <c r="AY19" s="430"/>
      <c r="AZ19" s="430"/>
      <c r="BA19" s="430"/>
      <c r="BB19" s="430"/>
    </row>
    <row r="20" spans="1:54" s="429" customFormat="1" ht="15.75">
      <c r="A20" s="414"/>
      <c r="B20" s="414"/>
      <c r="C20" s="414"/>
      <c r="D20" s="414"/>
      <c r="E20" s="414"/>
      <c r="F20" s="414"/>
      <c r="G20" s="415"/>
      <c r="H20" s="431"/>
      <c r="I20" s="310"/>
      <c r="J20" s="432"/>
      <c r="K20" s="432"/>
      <c r="L20" s="432"/>
      <c r="M20" s="312"/>
      <c r="N20" s="310"/>
      <c r="O20" s="433"/>
      <c r="P20" s="433"/>
      <c r="Q20" s="434"/>
      <c r="R20" s="434"/>
      <c r="S20" s="434"/>
      <c r="T20" s="434"/>
      <c r="U20" s="434"/>
      <c r="V20" s="434"/>
      <c r="W20" s="435"/>
      <c r="X20" s="435"/>
      <c r="Y20" s="435"/>
      <c r="Z20" s="436"/>
      <c r="AA20" s="436"/>
      <c r="AB20" s="437" t="s">
        <v>232</v>
      </c>
      <c r="AC20" s="438"/>
      <c r="AD20" s="438"/>
      <c r="AE20" s="438"/>
      <c r="AF20" s="438"/>
      <c r="AG20" s="438"/>
      <c r="AH20" s="438"/>
      <c r="AI20" s="438"/>
      <c r="AJ20" s="438"/>
      <c r="AK20" s="438"/>
      <c r="AL20" s="438"/>
      <c r="AM20" s="438"/>
      <c r="AN20" s="438"/>
      <c r="AO20" s="438"/>
      <c r="AP20" s="438"/>
      <c r="AQ20" s="439">
        <f t="shared" si="0"/>
        <v>0</v>
      </c>
      <c r="AR20" s="440">
        <f t="shared" si="0"/>
        <v>0</v>
      </c>
      <c r="AW20" s="430"/>
      <c r="AX20" s="430"/>
      <c r="AY20" s="430"/>
      <c r="AZ20" s="430"/>
      <c r="BA20" s="430"/>
      <c r="BB20" s="430"/>
    </row>
    <row r="21" spans="1:54" s="6" customFormat="1" ht="12.75" customHeight="1">
      <c r="A21" s="381"/>
      <c r="B21" s="381"/>
      <c r="C21" s="381"/>
      <c r="D21" s="381"/>
      <c r="E21" s="381"/>
      <c r="F21" s="381"/>
      <c r="G21" s="441"/>
      <c r="H21" s="431"/>
      <c r="I21" s="310"/>
      <c r="J21" s="432"/>
      <c r="K21" s="432"/>
      <c r="L21" s="432"/>
      <c r="M21" s="312"/>
      <c r="N21" s="310"/>
      <c r="O21" s="433"/>
      <c r="P21" s="433"/>
      <c r="Q21" s="434"/>
      <c r="R21" s="434"/>
      <c r="S21" s="434"/>
      <c r="T21" s="434"/>
      <c r="U21" s="434"/>
      <c r="V21" s="434"/>
      <c r="W21" s="435"/>
      <c r="X21" s="435"/>
      <c r="Y21" s="435"/>
      <c r="Z21" s="436"/>
      <c r="AA21" s="436"/>
      <c r="AB21" s="442" t="s">
        <v>233</v>
      </c>
      <c r="AC21" s="443"/>
      <c r="AD21" s="443"/>
      <c r="AE21" s="443"/>
      <c r="AF21" s="443"/>
      <c r="AG21" s="443"/>
      <c r="AH21" s="443"/>
      <c r="AI21" s="443"/>
      <c r="AJ21" s="443"/>
      <c r="AK21" s="443"/>
      <c r="AL21" s="443"/>
      <c r="AM21" s="443"/>
      <c r="AN21" s="443"/>
      <c r="AO21" s="443"/>
      <c r="AP21" s="443"/>
      <c r="AQ21" s="444">
        <f t="shared" si="0"/>
        <v>0</v>
      </c>
      <c r="AR21" s="445">
        <f t="shared" si="0"/>
        <v>0</v>
      </c>
      <c r="AW21" s="446"/>
      <c r="AX21" s="446"/>
      <c r="AY21" s="446"/>
      <c r="AZ21" s="446"/>
      <c r="BA21" s="446"/>
      <c r="BB21" s="446"/>
    </row>
    <row r="22" spans="1:54" s="6" customFormat="1" ht="16.5" thickBot="1">
      <c r="A22" s="381"/>
      <c r="B22" s="381"/>
      <c r="C22" s="381"/>
      <c r="D22" s="381"/>
      <c r="E22" s="381"/>
      <c r="F22" s="381"/>
      <c r="G22" s="441"/>
      <c r="H22" s="431"/>
      <c r="I22" s="310"/>
      <c r="J22" s="432"/>
      <c r="K22" s="432"/>
      <c r="L22" s="432"/>
      <c r="M22" s="312"/>
      <c r="N22" s="310"/>
      <c r="O22" s="433"/>
      <c r="P22" s="433"/>
      <c r="Q22" s="434"/>
      <c r="R22" s="434"/>
      <c r="S22" s="434"/>
      <c r="T22" s="434"/>
      <c r="U22" s="434"/>
      <c r="V22" s="434"/>
      <c r="W22" s="435"/>
      <c r="X22" s="435"/>
      <c r="Y22" s="435"/>
      <c r="Z22" s="436"/>
      <c r="AA22" s="436"/>
      <c r="AB22" s="447" t="s">
        <v>234</v>
      </c>
      <c r="AC22" s="448">
        <f aca="true" t="shared" si="1" ref="AC22:AR22">SUM(AC16:AC21)</f>
        <v>0</v>
      </c>
      <c r="AD22" s="448">
        <f t="shared" si="1"/>
        <v>0</v>
      </c>
      <c r="AE22" s="448">
        <f t="shared" si="1"/>
        <v>0</v>
      </c>
      <c r="AF22" s="448">
        <f t="shared" si="1"/>
        <v>0</v>
      </c>
      <c r="AG22" s="448">
        <f t="shared" si="1"/>
        <v>0</v>
      </c>
      <c r="AH22" s="448">
        <f t="shared" si="1"/>
        <v>0</v>
      </c>
      <c r="AI22" s="448">
        <f t="shared" si="1"/>
        <v>0</v>
      </c>
      <c r="AJ22" s="448">
        <f t="shared" si="1"/>
        <v>0</v>
      </c>
      <c r="AK22" s="448">
        <f t="shared" si="1"/>
        <v>0</v>
      </c>
      <c r="AL22" s="448">
        <f t="shared" si="1"/>
        <v>0</v>
      </c>
      <c r="AM22" s="448">
        <f t="shared" si="1"/>
        <v>0</v>
      </c>
      <c r="AN22" s="448">
        <f t="shared" si="1"/>
        <v>0</v>
      </c>
      <c r="AO22" s="448">
        <f t="shared" si="1"/>
        <v>0</v>
      </c>
      <c r="AP22" s="448">
        <f t="shared" si="1"/>
        <v>0</v>
      </c>
      <c r="AQ22" s="448">
        <f t="shared" si="1"/>
        <v>0</v>
      </c>
      <c r="AR22" s="449">
        <f t="shared" si="1"/>
        <v>0</v>
      </c>
      <c r="AW22" s="446"/>
      <c r="AX22" s="446"/>
      <c r="AY22" s="446"/>
      <c r="AZ22" s="446"/>
      <c r="BA22" s="446"/>
      <c r="BB22" s="446"/>
    </row>
    <row r="23" spans="1:54" s="6" customFormat="1" ht="15.75" customHeight="1" hidden="1">
      <c r="A23" s="381"/>
      <c r="B23" s="381"/>
      <c r="C23" s="381"/>
      <c r="D23" s="381"/>
      <c r="E23" s="381"/>
      <c r="F23" s="381"/>
      <c r="G23" s="441"/>
      <c r="H23" s="431"/>
      <c r="I23" s="310"/>
      <c r="J23" s="432"/>
      <c r="K23" s="432"/>
      <c r="L23" s="432"/>
      <c r="M23" s="312"/>
      <c r="N23" s="310"/>
      <c r="O23" s="433"/>
      <c r="P23" s="433"/>
      <c r="Q23" s="434"/>
      <c r="R23" s="434"/>
      <c r="S23" s="434"/>
      <c r="T23" s="434"/>
      <c r="U23" s="434"/>
      <c r="V23" s="434"/>
      <c r="W23" s="435"/>
      <c r="X23" s="435"/>
      <c r="Y23" s="435"/>
      <c r="Z23" s="436"/>
      <c r="AA23" s="436"/>
      <c r="AB23" s="450" t="s">
        <v>235</v>
      </c>
      <c r="AC23" s="443"/>
      <c r="AD23" s="443"/>
      <c r="AE23" s="443"/>
      <c r="AF23" s="443"/>
      <c r="AG23" s="443"/>
      <c r="AH23" s="443"/>
      <c r="AI23" s="443"/>
      <c r="AJ23" s="443"/>
      <c r="AK23" s="443"/>
      <c r="AL23" s="443"/>
      <c r="AM23" s="443"/>
      <c r="AN23" s="443"/>
      <c r="AO23" s="443"/>
      <c r="AP23" s="443"/>
      <c r="AQ23" s="444">
        <f>+AC23+AE23+AG23+AI23+AK23+AM23+AO23</f>
        <v>0</v>
      </c>
      <c r="AR23" s="445">
        <f aca="true" t="shared" si="2" ref="AR23:AR29">+AD23+AF23+AH23+AJ23+AL23+AN23+AP23</f>
        <v>0</v>
      </c>
      <c r="AW23" s="446"/>
      <c r="AX23" s="446"/>
      <c r="AY23" s="446"/>
      <c r="AZ23" s="446"/>
      <c r="BA23" s="446"/>
      <c r="BB23" s="446"/>
    </row>
    <row r="24" spans="1:54" s="6" customFormat="1" ht="15.75" customHeight="1" hidden="1">
      <c r="A24" s="381"/>
      <c r="B24" s="381"/>
      <c r="C24" s="381"/>
      <c r="D24" s="381"/>
      <c r="E24" s="381"/>
      <c r="F24" s="381"/>
      <c r="G24" s="441"/>
      <c r="H24" s="431"/>
      <c r="I24" s="310"/>
      <c r="J24" s="432"/>
      <c r="K24" s="432"/>
      <c r="L24" s="432"/>
      <c r="M24" s="312"/>
      <c r="N24" s="310"/>
      <c r="O24" s="433"/>
      <c r="P24" s="433"/>
      <c r="Q24" s="434"/>
      <c r="R24" s="434"/>
      <c r="S24" s="434"/>
      <c r="T24" s="434"/>
      <c r="U24" s="434"/>
      <c r="V24" s="434"/>
      <c r="W24" s="435"/>
      <c r="X24" s="435"/>
      <c r="Y24" s="435"/>
      <c r="Z24" s="436"/>
      <c r="AA24" s="436"/>
      <c r="AB24" s="450" t="s">
        <v>281</v>
      </c>
      <c r="AC24" s="443"/>
      <c r="AD24" s="443"/>
      <c r="AE24" s="443"/>
      <c r="AF24" s="443"/>
      <c r="AG24" s="443"/>
      <c r="AH24" s="443"/>
      <c r="AI24" s="443"/>
      <c r="AJ24" s="443"/>
      <c r="AK24" s="443"/>
      <c r="AL24" s="443"/>
      <c r="AM24" s="443"/>
      <c r="AN24" s="443"/>
      <c r="AO24" s="443"/>
      <c r="AP24" s="443"/>
      <c r="AQ24" s="444">
        <f aca="true" t="shared" si="3" ref="AQ24:AQ29">+AC24+AE24+AG24+AI24+AK24+AM24+AO24</f>
        <v>0</v>
      </c>
      <c r="AR24" s="445">
        <f t="shared" si="2"/>
        <v>0</v>
      </c>
      <c r="AW24" s="446"/>
      <c r="AX24" s="446"/>
      <c r="AY24" s="446"/>
      <c r="AZ24" s="446"/>
      <c r="BA24" s="446"/>
      <c r="BB24" s="446"/>
    </row>
    <row r="25" spans="1:54" s="6" customFormat="1" ht="15.75" customHeight="1" hidden="1">
      <c r="A25" s="381"/>
      <c r="B25" s="381"/>
      <c r="C25" s="381"/>
      <c r="D25" s="381"/>
      <c r="E25" s="381"/>
      <c r="F25" s="381"/>
      <c r="G25" s="441"/>
      <c r="H25" s="431"/>
      <c r="I25" s="310"/>
      <c r="J25" s="432"/>
      <c r="K25" s="432"/>
      <c r="L25" s="432"/>
      <c r="M25" s="312"/>
      <c r="N25" s="310"/>
      <c r="O25" s="433"/>
      <c r="P25" s="433"/>
      <c r="Q25" s="434"/>
      <c r="R25" s="434"/>
      <c r="S25" s="434"/>
      <c r="T25" s="434"/>
      <c r="U25" s="434"/>
      <c r="V25" s="434"/>
      <c r="W25" s="435"/>
      <c r="X25" s="435"/>
      <c r="Y25" s="435"/>
      <c r="Z25" s="436"/>
      <c r="AA25" s="436"/>
      <c r="AB25" s="442" t="s">
        <v>237</v>
      </c>
      <c r="AC25" s="443"/>
      <c r="AD25" s="443"/>
      <c r="AE25" s="443"/>
      <c r="AF25" s="443"/>
      <c r="AG25" s="443"/>
      <c r="AH25" s="443"/>
      <c r="AI25" s="443"/>
      <c r="AJ25" s="443"/>
      <c r="AK25" s="443"/>
      <c r="AL25" s="443"/>
      <c r="AM25" s="443"/>
      <c r="AN25" s="443"/>
      <c r="AO25" s="443"/>
      <c r="AP25" s="443"/>
      <c r="AQ25" s="444">
        <f t="shared" si="3"/>
        <v>0</v>
      </c>
      <c r="AR25" s="445">
        <f t="shared" si="2"/>
        <v>0</v>
      </c>
      <c r="AW25" s="446"/>
      <c r="AX25" s="446"/>
      <c r="AY25" s="446"/>
      <c r="AZ25" s="446"/>
      <c r="BA25" s="446"/>
      <c r="BB25" s="446"/>
    </row>
    <row r="26" spans="1:54" s="6" customFormat="1" ht="15.75" customHeight="1" hidden="1">
      <c r="A26" s="381"/>
      <c r="B26" s="381"/>
      <c r="C26" s="381"/>
      <c r="D26" s="381"/>
      <c r="E26" s="381"/>
      <c r="F26" s="381"/>
      <c r="G26" s="441"/>
      <c r="H26" s="431"/>
      <c r="I26" s="310"/>
      <c r="J26" s="432"/>
      <c r="K26" s="432"/>
      <c r="L26" s="432"/>
      <c r="M26" s="312"/>
      <c r="N26" s="310"/>
      <c r="O26" s="433"/>
      <c r="P26" s="433"/>
      <c r="Q26" s="434"/>
      <c r="R26" s="434"/>
      <c r="S26" s="434"/>
      <c r="T26" s="434"/>
      <c r="U26" s="434"/>
      <c r="V26" s="434"/>
      <c r="W26" s="435"/>
      <c r="X26" s="435"/>
      <c r="Y26" s="435"/>
      <c r="Z26" s="436"/>
      <c r="AA26" s="436"/>
      <c r="AB26" s="442" t="s">
        <v>238</v>
      </c>
      <c r="AC26" s="443"/>
      <c r="AD26" s="443"/>
      <c r="AE26" s="443"/>
      <c r="AF26" s="443"/>
      <c r="AG26" s="443"/>
      <c r="AH26" s="443"/>
      <c r="AI26" s="443"/>
      <c r="AJ26" s="443"/>
      <c r="AK26" s="443"/>
      <c r="AL26" s="443"/>
      <c r="AM26" s="443"/>
      <c r="AN26" s="443"/>
      <c r="AO26" s="443"/>
      <c r="AP26" s="443"/>
      <c r="AQ26" s="444">
        <f t="shared" si="3"/>
        <v>0</v>
      </c>
      <c r="AR26" s="445">
        <f t="shared" si="2"/>
        <v>0</v>
      </c>
      <c r="AW26" s="446"/>
      <c r="AX26" s="446"/>
      <c r="AY26" s="446"/>
      <c r="AZ26" s="446"/>
      <c r="BA26" s="446"/>
      <c r="BB26" s="446"/>
    </row>
    <row r="27" spans="1:54" s="6" customFormat="1" ht="15.75" customHeight="1" hidden="1">
      <c r="A27" s="381"/>
      <c r="B27" s="381"/>
      <c r="C27" s="381"/>
      <c r="D27" s="381"/>
      <c r="E27" s="381"/>
      <c r="F27" s="381"/>
      <c r="G27" s="441"/>
      <c r="H27" s="431"/>
      <c r="I27" s="310"/>
      <c r="J27" s="432"/>
      <c r="K27" s="432"/>
      <c r="L27" s="432"/>
      <c r="M27" s="312"/>
      <c r="N27" s="310"/>
      <c r="O27" s="433"/>
      <c r="P27" s="433"/>
      <c r="Q27" s="434"/>
      <c r="R27" s="434"/>
      <c r="S27" s="434"/>
      <c r="T27" s="434"/>
      <c r="U27" s="434"/>
      <c r="V27" s="434"/>
      <c r="W27" s="435"/>
      <c r="X27" s="435"/>
      <c r="Y27" s="435"/>
      <c r="Z27" s="436"/>
      <c r="AA27" s="436"/>
      <c r="AB27" s="442" t="s">
        <v>239</v>
      </c>
      <c r="AC27" s="443"/>
      <c r="AD27" s="443"/>
      <c r="AE27" s="443"/>
      <c r="AF27" s="443"/>
      <c r="AG27" s="443"/>
      <c r="AH27" s="443"/>
      <c r="AI27" s="443"/>
      <c r="AJ27" s="443"/>
      <c r="AK27" s="443"/>
      <c r="AL27" s="443"/>
      <c r="AM27" s="443"/>
      <c r="AN27" s="443"/>
      <c r="AO27" s="443"/>
      <c r="AP27" s="443"/>
      <c r="AQ27" s="444">
        <f t="shared" si="3"/>
        <v>0</v>
      </c>
      <c r="AR27" s="445">
        <f t="shared" si="2"/>
        <v>0</v>
      </c>
      <c r="AW27" s="446"/>
      <c r="AX27" s="446"/>
      <c r="AY27" s="446"/>
      <c r="AZ27" s="446"/>
      <c r="BA27" s="446"/>
      <c r="BB27" s="446"/>
    </row>
    <row r="28" spans="1:54" s="6" customFormat="1" ht="15.75" customHeight="1" hidden="1">
      <c r="A28" s="381"/>
      <c r="B28" s="381"/>
      <c r="C28" s="381"/>
      <c r="D28" s="381"/>
      <c r="E28" s="381"/>
      <c r="F28" s="381"/>
      <c r="G28" s="441"/>
      <c r="H28" s="431"/>
      <c r="I28" s="310"/>
      <c r="J28" s="432"/>
      <c r="K28" s="432"/>
      <c r="L28" s="432"/>
      <c r="M28" s="312"/>
      <c r="N28" s="310"/>
      <c r="O28" s="433"/>
      <c r="P28" s="433"/>
      <c r="Q28" s="434"/>
      <c r="R28" s="434"/>
      <c r="S28" s="434"/>
      <c r="T28" s="434"/>
      <c r="U28" s="434"/>
      <c r="V28" s="434"/>
      <c r="W28" s="435"/>
      <c r="X28" s="435"/>
      <c r="Y28" s="435"/>
      <c r="Z28" s="436"/>
      <c r="AA28" s="436"/>
      <c r="AB28" s="442" t="s">
        <v>240</v>
      </c>
      <c r="AC28" s="443"/>
      <c r="AD28" s="443"/>
      <c r="AE28" s="443"/>
      <c r="AF28" s="443"/>
      <c r="AG28" s="443"/>
      <c r="AH28" s="443"/>
      <c r="AI28" s="443"/>
      <c r="AJ28" s="443"/>
      <c r="AK28" s="443"/>
      <c r="AL28" s="443"/>
      <c r="AM28" s="443"/>
      <c r="AN28" s="443"/>
      <c r="AO28" s="443"/>
      <c r="AP28" s="443"/>
      <c r="AQ28" s="444">
        <f t="shared" si="3"/>
        <v>0</v>
      </c>
      <c r="AR28" s="445">
        <f t="shared" si="2"/>
        <v>0</v>
      </c>
      <c r="AW28" s="446"/>
      <c r="AX28" s="446"/>
      <c r="AY28" s="446"/>
      <c r="AZ28" s="446"/>
      <c r="BA28" s="446"/>
      <c r="BB28" s="446"/>
    </row>
    <row r="29" spans="1:54" s="6" customFormat="1" ht="15.75" customHeight="1" hidden="1">
      <c r="A29" s="381"/>
      <c r="B29" s="381"/>
      <c r="C29" s="381"/>
      <c r="D29" s="381"/>
      <c r="E29" s="381"/>
      <c r="F29" s="381"/>
      <c r="G29" s="441"/>
      <c r="H29" s="431"/>
      <c r="I29" s="310"/>
      <c r="J29" s="432"/>
      <c r="K29" s="432"/>
      <c r="L29" s="432"/>
      <c r="M29" s="312"/>
      <c r="N29" s="310"/>
      <c r="O29" s="433"/>
      <c r="P29" s="433"/>
      <c r="Q29" s="434"/>
      <c r="R29" s="434"/>
      <c r="S29" s="434"/>
      <c r="T29" s="434"/>
      <c r="U29" s="434"/>
      <c r="V29" s="434"/>
      <c r="W29" s="435"/>
      <c r="X29" s="435"/>
      <c r="Y29" s="435"/>
      <c r="Z29" s="436"/>
      <c r="AA29" s="436"/>
      <c r="AB29" s="442" t="s">
        <v>241</v>
      </c>
      <c r="AC29" s="443"/>
      <c r="AD29" s="443"/>
      <c r="AE29" s="443"/>
      <c r="AF29" s="443"/>
      <c r="AG29" s="443"/>
      <c r="AH29" s="443"/>
      <c r="AI29" s="443"/>
      <c r="AJ29" s="443"/>
      <c r="AK29" s="443"/>
      <c r="AL29" s="443"/>
      <c r="AM29" s="443"/>
      <c r="AN29" s="443"/>
      <c r="AO29" s="443"/>
      <c r="AP29" s="443"/>
      <c r="AQ29" s="444">
        <f t="shared" si="3"/>
        <v>0</v>
      </c>
      <c r="AR29" s="445">
        <f t="shared" si="2"/>
        <v>0</v>
      </c>
      <c r="AW29" s="446"/>
      <c r="AX29" s="446"/>
      <c r="AY29" s="446"/>
      <c r="AZ29" s="446"/>
      <c r="BA29" s="446"/>
      <c r="BB29" s="446"/>
    </row>
    <row r="30" spans="1:54" s="6" customFormat="1" ht="15.75" customHeight="1" hidden="1">
      <c r="A30" s="381"/>
      <c r="B30" s="381"/>
      <c r="C30" s="381"/>
      <c r="D30" s="381"/>
      <c r="E30" s="381"/>
      <c r="F30" s="381"/>
      <c r="G30" s="441"/>
      <c r="H30" s="431"/>
      <c r="I30" s="310"/>
      <c r="J30" s="432"/>
      <c r="K30" s="432"/>
      <c r="L30" s="432"/>
      <c r="M30" s="312"/>
      <c r="N30" s="310"/>
      <c r="O30" s="433"/>
      <c r="P30" s="433"/>
      <c r="Q30" s="434"/>
      <c r="R30" s="434"/>
      <c r="S30" s="434"/>
      <c r="T30" s="434"/>
      <c r="U30" s="434"/>
      <c r="V30" s="434"/>
      <c r="W30" s="435"/>
      <c r="X30" s="435"/>
      <c r="Y30" s="435"/>
      <c r="Z30" s="436"/>
      <c r="AA30" s="436"/>
      <c r="AB30" s="447" t="s">
        <v>282</v>
      </c>
      <c r="AC30" s="448">
        <f aca="true" t="shared" si="4" ref="AC30:AR30">SUM(AC24:AC29)+IF(AC22=0,AC23,AC22)</f>
        <v>0</v>
      </c>
      <c r="AD30" s="448">
        <f t="shared" si="4"/>
        <v>0</v>
      </c>
      <c r="AE30" s="448">
        <f t="shared" si="4"/>
        <v>0</v>
      </c>
      <c r="AF30" s="448">
        <f t="shared" si="4"/>
        <v>0</v>
      </c>
      <c r="AG30" s="448">
        <f t="shared" si="4"/>
        <v>0</v>
      </c>
      <c r="AH30" s="448">
        <f t="shared" si="4"/>
        <v>0</v>
      </c>
      <c r="AI30" s="448">
        <f t="shared" si="4"/>
        <v>0</v>
      </c>
      <c r="AJ30" s="448">
        <f t="shared" si="4"/>
        <v>0</v>
      </c>
      <c r="AK30" s="448">
        <f t="shared" si="4"/>
        <v>0</v>
      </c>
      <c r="AL30" s="448">
        <f t="shared" si="4"/>
        <v>0</v>
      </c>
      <c r="AM30" s="448">
        <f t="shared" si="4"/>
        <v>0</v>
      </c>
      <c r="AN30" s="448">
        <f t="shared" si="4"/>
        <v>0</v>
      </c>
      <c r="AO30" s="448">
        <f t="shared" si="4"/>
        <v>0</v>
      </c>
      <c r="AP30" s="448">
        <f t="shared" si="4"/>
        <v>0</v>
      </c>
      <c r="AQ30" s="448">
        <f t="shared" si="4"/>
        <v>0</v>
      </c>
      <c r="AR30" s="449">
        <f t="shared" si="4"/>
        <v>0</v>
      </c>
      <c r="AW30" s="446"/>
      <c r="AX30" s="446"/>
      <c r="AY30" s="446"/>
      <c r="AZ30" s="446"/>
      <c r="BA30" s="446"/>
      <c r="BB30" s="446"/>
    </row>
    <row r="31" spans="1:54" s="6" customFormat="1" ht="16.5" customHeight="1" hidden="1" thickBot="1">
      <c r="A31" s="381"/>
      <c r="B31" s="381"/>
      <c r="C31" s="381"/>
      <c r="D31" s="381"/>
      <c r="E31" s="381"/>
      <c r="F31" s="381"/>
      <c r="G31" s="441"/>
      <c r="H31" s="451"/>
      <c r="I31" s="330"/>
      <c r="J31" s="452"/>
      <c r="K31" s="452"/>
      <c r="L31" s="452"/>
      <c r="M31" s="332"/>
      <c r="N31" s="330"/>
      <c r="O31" s="453"/>
      <c r="P31" s="453"/>
      <c r="Q31" s="454"/>
      <c r="R31" s="454"/>
      <c r="S31" s="454"/>
      <c r="T31" s="454"/>
      <c r="U31" s="454"/>
      <c r="V31" s="454"/>
      <c r="W31" s="455"/>
      <c r="X31" s="455"/>
      <c r="Y31" s="455"/>
      <c r="Z31" s="456"/>
      <c r="AA31" s="456"/>
      <c r="AB31" s="457" t="s">
        <v>283</v>
      </c>
      <c r="AC31" s="458"/>
      <c r="AD31" s="458"/>
      <c r="AE31" s="458"/>
      <c r="AF31" s="458"/>
      <c r="AG31" s="458"/>
      <c r="AH31" s="458"/>
      <c r="AI31" s="458"/>
      <c r="AJ31" s="458"/>
      <c r="AK31" s="458"/>
      <c r="AL31" s="458"/>
      <c r="AM31" s="458"/>
      <c r="AN31" s="458"/>
      <c r="AO31" s="458"/>
      <c r="AP31" s="458"/>
      <c r="AQ31" s="459">
        <f aca="true" t="shared" si="5" ref="AQ31:AR37">+AC31+AE31+AG31+AI31+AK31+AM31+AO31</f>
        <v>0</v>
      </c>
      <c r="AR31" s="460">
        <f t="shared" si="5"/>
        <v>0</v>
      </c>
      <c r="AW31" s="446"/>
      <c r="AX31" s="446"/>
      <c r="AY31" s="446"/>
      <c r="AZ31" s="446"/>
      <c r="BA31" s="446"/>
      <c r="BB31" s="446"/>
    </row>
    <row r="32" spans="1:54" s="6" customFormat="1" ht="36">
      <c r="A32" s="381" t="s">
        <v>284</v>
      </c>
      <c r="B32" s="381" t="s">
        <v>285</v>
      </c>
      <c r="C32" s="381" t="s">
        <v>218</v>
      </c>
      <c r="D32" s="381" t="s">
        <v>219</v>
      </c>
      <c r="E32" s="381" t="s">
        <v>220</v>
      </c>
      <c r="F32" s="381" t="s">
        <v>286</v>
      </c>
      <c r="G32" s="441">
        <v>12</v>
      </c>
      <c r="H32" s="416">
        <v>886</v>
      </c>
      <c r="I32" s="294" t="s">
        <v>52</v>
      </c>
      <c r="J32" s="418"/>
      <c r="K32" s="418" t="s">
        <v>26</v>
      </c>
      <c r="L32" s="418"/>
      <c r="M32" s="297">
        <v>0</v>
      </c>
      <c r="N32" s="297" t="s">
        <v>287</v>
      </c>
      <c r="O32" s="461">
        <v>20</v>
      </c>
      <c r="P32" s="462">
        <v>15</v>
      </c>
      <c r="Q32" s="420">
        <f>SUMIF('Actividades inversión 886'!$B$13:$B$50,'Metas inversión 886'!$B32,'Actividades inversión 886'!M$13:M$50)</f>
        <v>870480000</v>
      </c>
      <c r="R32" s="420">
        <f>SUMIF('Actividades inversión 886'!$B$13:$B$50,'Metas inversión 886'!$B32,'Actividades inversión 886'!N$13:N$50)</f>
        <v>826160000</v>
      </c>
      <c r="S32" s="420">
        <f>SUMIF('Actividades inversión 886'!$B$13:$B$50,'Metas inversión 886'!$B32,'Actividades inversión 886'!O$13:O$50)</f>
        <v>336609120</v>
      </c>
      <c r="T32" s="420">
        <f>SUMIF('Actividades inversión 886'!$B$13:$B$50,'Metas inversión 886'!$B32,'Actividades inversión 886'!P$13:P$50)</f>
        <v>29204400</v>
      </c>
      <c r="U32" s="420">
        <f>SUMIF('Actividades inversión 886'!$B$13:$B$50,'Metas inversión 886'!$B32,'Actividades inversión 886'!Q$13:Q$50)</f>
        <v>161776134</v>
      </c>
      <c r="V32" s="420">
        <f>SUMIF('Actividades inversión 886'!$B$13:$B$50,'Metas inversión 886'!$B32,'Actividades inversión 886'!R$13:R$50)</f>
        <v>150908367</v>
      </c>
      <c r="W32" s="463" t="s">
        <v>288</v>
      </c>
      <c r="X32" s="463" t="s">
        <v>289</v>
      </c>
      <c r="Y32" s="464" t="s">
        <v>290</v>
      </c>
      <c r="Z32" s="421" t="s">
        <v>291</v>
      </c>
      <c r="AA32" s="421"/>
      <c r="AB32" s="465" t="s">
        <v>280</v>
      </c>
      <c r="AC32" s="466"/>
      <c r="AD32" s="466"/>
      <c r="AE32" s="466"/>
      <c r="AF32" s="466"/>
      <c r="AG32" s="466"/>
      <c r="AH32" s="466"/>
      <c r="AI32" s="466"/>
      <c r="AJ32" s="466"/>
      <c r="AK32" s="466"/>
      <c r="AL32" s="466"/>
      <c r="AM32" s="466"/>
      <c r="AN32" s="466"/>
      <c r="AO32" s="466"/>
      <c r="AP32" s="466"/>
      <c r="AQ32" s="467">
        <f t="shared" si="5"/>
        <v>0</v>
      </c>
      <c r="AR32" s="468">
        <f t="shared" si="5"/>
        <v>0</v>
      </c>
      <c r="AW32" s="446">
        <f>+'[4]99-METROPOLITANO'!N30</f>
        <v>870480000</v>
      </c>
      <c r="AX32" s="446">
        <f>+'[4]99-METROPOLITANO'!O30</f>
        <v>826160000</v>
      </c>
      <c r="AY32" s="446">
        <f>+'[4]99-METROPOLITANO'!P30</f>
        <v>336609120</v>
      </c>
      <c r="AZ32" s="446">
        <f>+'[4]99-METROPOLITANO'!Q30</f>
        <v>29204400</v>
      </c>
      <c r="BA32" s="446">
        <f>+'[4]99-METROPOLITANO'!R30</f>
        <v>161776134</v>
      </c>
      <c r="BB32" s="446">
        <f>+'[4]99-METROPOLITANO'!S30</f>
        <v>150908367</v>
      </c>
    </row>
    <row r="33" spans="1:54" s="6" customFormat="1" ht="15.75">
      <c r="A33" s="381"/>
      <c r="B33" s="381"/>
      <c r="C33" s="381"/>
      <c r="D33" s="381"/>
      <c r="E33" s="381"/>
      <c r="F33" s="381"/>
      <c r="G33" s="441"/>
      <c r="H33" s="431"/>
      <c r="I33" s="310"/>
      <c r="J33" s="432"/>
      <c r="K33" s="432"/>
      <c r="L33" s="432"/>
      <c r="M33" s="312"/>
      <c r="N33" s="312"/>
      <c r="O33" s="469"/>
      <c r="P33" s="470"/>
      <c r="Q33" s="434"/>
      <c r="R33" s="434"/>
      <c r="S33" s="434"/>
      <c r="T33" s="434"/>
      <c r="U33" s="434"/>
      <c r="V33" s="434"/>
      <c r="W33" s="471"/>
      <c r="X33" s="471"/>
      <c r="Y33" s="471"/>
      <c r="Z33" s="435"/>
      <c r="AA33" s="435"/>
      <c r="AB33" s="450" t="s">
        <v>229</v>
      </c>
      <c r="AC33" s="443"/>
      <c r="AD33" s="443"/>
      <c r="AE33" s="443"/>
      <c r="AF33" s="443"/>
      <c r="AG33" s="443"/>
      <c r="AH33" s="443"/>
      <c r="AI33" s="443"/>
      <c r="AJ33" s="443"/>
      <c r="AK33" s="443"/>
      <c r="AL33" s="443"/>
      <c r="AM33" s="443"/>
      <c r="AN33" s="443"/>
      <c r="AO33" s="443"/>
      <c r="AP33" s="443"/>
      <c r="AQ33" s="444">
        <f t="shared" si="5"/>
        <v>0</v>
      </c>
      <c r="AR33" s="445">
        <f t="shared" si="5"/>
        <v>0</v>
      </c>
      <c r="AW33" s="446"/>
      <c r="AX33" s="446"/>
      <c r="AY33" s="446"/>
      <c r="AZ33" s="446"/>
      <c r="BA33" s="446"/>
      <c r="BB33" s="446"/>
    </row>
    <row r="34" spans="1:54" s="6" customFormat="1" ht="15.75">
      <c r="A34" s="381"/>
      <c r="B34" s="381"/>
      <c r="C34" s="381"/>
      <c r="D34" s="381"/>
      <c r="E34" s="381"/>
      <c r="F34" s="381"/>
      <c r="G34" s="441"/>
      <c r="H34" s="431"/>
      <c r="I34" s="310"/>
      <c r="J34" s="432"/>
      <c r="K34" s="432"/>
      <c r="L34" s="432"/>
      <c r="M34" s="312"/>
      <c r="N34" s="312"/>
      <c r="O34" s="469"/>
      <c r="P34" s="470"/>
      <c r="Q34" s="434"/>
      <c r="R34" s="434"/>
      <c r="S34" s="434"/>
      <c r="T34" s="434"/>
      <c r="U34" s="434"/>
      <c r="V34" s="434"/>
      <c r="W34" s="471"/>
      <c r="X34" s="471"/>
      <c r="Y34" s="471"/>
      <c r="Z34" s="435"/>
      <c r="AA34" s="435"/>
      <c r="AB34" s="450" t="s">
        <v>230</v>
      </c>
      <c r="AC34" s="443"/>
      <c r="AD34" s="443"/>
      <c r="AE34" s="443"/>
      <c r="AF34" s="443"/>
      <c r="AG34" s="443"/>
      <c r="AH34" s="443"/>
      <c r="AI34" s="443"/>
      <c r="AJ34" s="443"/>
      <c r="AK34" s="443"/>
      <c r="AL34" s="443"/>
      <c r="AM34" s="443"/>
      <c r="AN34" s="443"/>
      <c r="AO34" s="443"/>
      <c r="AP34" s="443"/>
      <c r="AQ34" s="444">
        <f t="shared" si="5"/>
        <v>0</v>
      </c>
      <c r="AR34" s="445">
        <f t="shared" si="5"/>
        <v>0</v>
      </c>
      <c r="AW34" s="446"/>
      <c r="AX34" s="446"/>
      <c r="AY34" s="446"/>
      <c r="AZ34" s="446"/>
      <c r="BA34" s="446"/>
      <c r="BB34" s="446"/>
    </row>
    <row r="35" spans="1:54" s="6" customFormat="1" ht="15.75">
      <c r="A35" s="381"/>
      <c r="B35" s="381"/>
      <c r="C35" s="381"/>
      <c r="D35" s="381"/>
      <c r="E35" s="381"/>
      <c r="F35" s="381"/>
      <c r="G35" s="441"/>
      <c r="H35" s="431"/>
      <c r="I35" s="310"/>
      <c r="J35" s="432"/>
      <c r="K35" s="432"/>
      <c r="L35" s="432"/>
      <c r="M35" s="312"/>
      <c r="N35" s="312"/>
      <c r="O35" s="469"/>
      <c r="P35" s="470"/>
      <c r="Q35" s="434"/>
      <c r="R35" s="434"/>
      <c r="S35" s="434"/>
      <c r="T35" s="434"/>
      <c r="U35" s="434"/>
      <c r="V35" s="434"/>
      <c r="W35" s="471"/>
      <c r="X35" s="471"/>
      <c r="Y35" s="471"/>
      <c r="Z35" s="435"/>
      <c r="AA35" s="435"/>
      <c r="AB35" s="450" t="s">
        <v>231</v>
      </c>
      <c r="AC35" s="443"/>
      <c r="AD35" s="443"/>
      <c r="AE35" s="443"/>
      <c r="AF35" s="443"/>
      <c r="AG35" s="443"/>
      <c r="AH35" s="443"/>
      <c r="AI35" s="443"/>
      <c r="AJ35" s="443"/>
      <c r="AK35" s="443"/>
      <c r="AL35" s="443"/>
      <c r="AM35" s="443"/>
      <c r="AN35" s="443"/>
      <c r="AO35" s="443"/>
      <c r="AP35" s="443"/>
      <c r="AQ35" s="444">
        <f t="shared" si="5"/>
        <v>0</v>
      </c>
      <c r="AR35" s="445">
        <f t="shared" si="5"/>
        <v>0</v>
      </c>
      <c r="AW35" s="446"/>
      <c r="AX35" s="446"/>
      <c r="AY35" s="446"/>
      <c r="AZ35" s="446"/>
      <c r="BA35" s="446"/>
      <c r="BB35" s="446"/>
    </row>
    <row r="36" spans="1:54" s="6" customFormat="1" ht="16.5" thickBot="1">
      <c r="A36" s="381"/>
      <c r="B36" s="381"/>
      <c r="C36" s="381"/>
      <c r="D36" s="381"/>
      <c r="E36" s="381"/>
      <c r="F36" s="381"/>
      <c r="G36" s="441"/>
      <c r="H36" s="431"/>
      <c r="I36" s="310"/>
      <c r="J36" s="432"/>
      <c r="K36" s="432"/>
      <c r="L36" s="432"/>
      <c r="M36" s="312"/>
      <c r="N36" s="312"/>
      <c r="O36" s="469"/>
      <c r="P36" s="470"/>
      <c r="Q36" s="434"/>
      <c r="R36" s="434"/>
      <c r="S36" s="434"/>
      <c r="T36" s="434"/>
      <c r="U36" s="434"/>
      <c r="V36" s="434"/>
      <c r="W36" s="471"/>
      <c r="X36" s="471"/>
      <c r="Y36" s="471"/>
      <c r="Z36" s="435"/>
      <c r="AA36" s="435"/>
      <c r="AB36" s="450" t="s">
        <v>232</v>
      </c>
      <c r="AC36" s="443"/>
      <c r="AD36" s="443"/>
      <c r="AE36" s="443"/>
      <c r="AF36" s="443"/>
      <c r="AG36" s="443"/>
      <c r="AH36" s="443"/>
      <c r="AI36" s="443"/>
      <c r="AJ36" s="443"/>
      <c r="AK36" s="443"/>
      <c r="AL36" s="443"/>
      <c r="AM36" s="443"/>
      <c r="AN36" s="443"/>
      <c r="AO36" s="443"/>
      <c r="AP36" s="443"/>
      <c r="AQ36" s="444">
        <f t="shared" si="5"/>
        <v>0</v>
      </c>
      <c r="AR36" s="445">
        <f t="shared" si="5"/>
        <v>0</v>
      </c>
      <c r="AW36" s="446"/>
      <c r="AX36" s="446"/>
      <c r="AY36" s="446"/>
      <c r="AZ36" s="446"/>
      <c r="BA36" s="446"/>
      <c r="BB36" s="446"/>
    </row>
    <row r="37" spans="1:54" s="6" customFormat="1" ht="6.75" customHeight="1" hidden="1" thickBot="1">
      <c r="A37" s="381"/>
      <c r="B37" s="381"/>
      <c r="C37" s="381"/>
      <c r="D37" s="381"/>
      <c r="E37" s="381"/>
      <c r="F37" s="381"/>
      <c r="G37" s="441"/>
      <c r="H37" s="431"/>
      <c r="I37" s="310"/>
      <c r="J37" s="432"/>
      <c r="K37" s="432"/>
      <c r="L37" s="432"/>
      <c r="M37" s="312"/>
      <c r="N37" s="312"/>
      <c r="O37" s="469"/>
      <c r="P37" s="470"/>
      <c r="Q37" s="434"/>
      <c r="R37" s="434"/>
      <c r="S37" s="434"/>
      <c r="T37" s="434"/>
      <c r="U37" s="434"/>
      <c r="V37" s="434"/>
      <c r="W37" s="471"/>
      <c r="X37" s="471"/>
      <c r="Y37" s="471"/>
      <c r="Z37" s="435"/>
      <c r="AA37" s="435"/>
      <c r="AB37" s="442" t="s">
        <v>233</v>
      </c>
      <c r="AC37" s="443"/>
      <c r="AD37" s="443"/>
      <c r="AE37" s="443"/>
      <c r="AF37" s="443"/>
      <c r="AG37" s="443"/>
      <c r="AH37" s="443"/>
      <c r="AI37" s="443"/>
      <c r="AJ37" s="443"/>
      <c r="AK37" s="443"/>
      <c r="AL37" s="443"/>
      <c r="AM37" s="443"/>
      <c r="AN37" s="443"/>
      <c r="AO37" s="443"/>
      <c r="AP37" s="443"/>
      <c r="AQ37" s="444">
        <f t="shared" si="5"/>
        <v>0</v>
      </c>
      <c r="AR37" s="445">
        <f t="shared" si="5"/>
        <v>0</v>
      </c>
      <c r="AW37" s="446"/>
      <c r="AX37" s="446"/>
      <c r="AY37" s="446"/>
      <c r="AZ37" s="446"/>
      <c r="BA37" s="446"/>
      <c r="BB37" s="446"/>
    </row>
    <row r="38" spans="1:54" s="6" customFormat="1" ht="14.25" customHeight="1" hidden="1" thickBot="1">
      <c r="A38" s="381"/>
      <c r="B38" s="381"/>
      <c r="C38" s="381"/>
      <c r="D38" s="381"/>
      <c r="E38" s="381"/>
      <c r="F38" s="381"/>
      <c r="G38" s="441"/>
      <c r="H38" s="431"/>
      <c r="I38" s="310"/>
      <c r="J38" s="432"/>
      <c r="K38" s="432"/>
      <c r="L38" s="432"/>
      <c r="M38" s="312"/>
      <c r="N38" s="312"/>
      <c r="O38" s="469"/>
      <c r="P38" s="470"/>
      <c r="Q38" s="434"/>
      <c r="R38" s="434"/>
      <c r="S38" s="434"/>
      <c r="T38" s="434"/>
      <c r="U38" s="434"/>
      <c r="V38" s="434"/>
      <c r="W38" s="471"/>
      <c r="X38" s="471"/>
      <c r="Y38" s="471"/>
      <c r="Z38" s="435"/>
      <c r="AA38" s="435"/>
      <c r="AB38" s="447" t="s">
        <v>234</v>
      </c>
      <c r="AC38" s="448">
        <f aca="true" t="shared" si="6" ref="AC38:AR38">SUM(AC32:AC37)</f>
        <v>0</v>
      </c>
      <c r="AD38" s="448">
        <f t="shared" si="6"/>
        <v>0</v>
      </c>
      <c r="AE38" s="448">
        <f t="shared" si="6"/>
        <v>0</v>
      </c>
      <c r="AF38" s="448">
        <f t="shared" si="6"/>
        <v>0</v>
      </c>
      <c r="AG38" s="448">
        <f t="shared" si="6"/>
        <v>0</v>
      </c>
      <c r="AH38" s="448">
        <f t="shared" si="6"/>
        <v>0</v>
      </c>
      <c r="AI38" s="448">
        <f t="shared" si="6"/>
        <v>0</v>
      </c>
      <c r="AJ38" s="448">
        <f t="shared" si="6"/>
        <v>0</v>
      </c>
      <c r="AK38" s="448">
        <f t="shared" si="6"/>
        <v>0</v>
      </c>
      <c r="AL38" s="448">
        <f t="shared" si="6"/>
        <v>0</v>
      </c>
      <c r="AM38" s="448">
        <f t="shared" si="6"/>
        <v>0</v>
      </c>
      <c r="AN38" s="448">
        <f t="shared" si="6"/>
        <v>0</v>
      </c>
      <c r="AO38" s="448">
        <f t="shared" si="6"/>
        <v>0</v>
      </c>
      <c r="AP38" s="448">
        <f t="shared" si="6"/>
        <v>0</v>
      </c>
      <c r="AQ38" s="448">
        <f t="shared" si="6"/>
        <v>0</v>
      </c>
      <c r="AR38" s="449">
        <f t="shared" si="6"/>
        <v>0</v>
      </c>
      <c r="AW38" s="446"/>
      <c r="AX38" s="446"/>
      <c r="AY38" s="446"/>
      <c r="AZ38" s="446"/>
      <c r="BA38" s="446"/>
      <c r="BB38" s="446"/>
    </row>
    <row r="39" spans="1:54" s="6" customFormat="1" ht="12.75" customHeight="1" hidden="1" thickBot="1">
      <c r="A39" s="381"/>
      <c r="B39" s="381"/>
      <c r="C39" s="381"/>
      <c r="D39" s="381"/>
      <c r="E39" s="381"/>
      <c r="F39" s="381"/>
      <c r="G39" s="441"/>
      <c r="H39" s="431"/>
      <c r="I39" s="310"/>
      <c r="J39" s="432"/>
      <c r="K39" s="432"/>
      <c r="L39" s="432"/>
      <c r="M39" s="312"/>
      <c r="N39" s="312"/>
      <c r="O39" s="469"/>
      <c r="P39" s="470"/>
      <c r="Q39" s="434"/>
      <c r="R39" s="434"/>
      <c r="S39" s="434"/>
      <c r="T39" s="434"/>
      <c r="U39" s="434"/>
      <c r="V39" s="434"/>
      <c r="W39" s="471"/>
      <c r="X39" s="471"/>
      <c r="Y39" s="471"/>
      <c r="Z39" s="435"/>
      <c r="AA39" s="435"/>
      <c r="AB39" s="450" t="s">
        <v>235</v>
      </c>
      <c r="AC39" s="443"/>
      <c r="AD39" s="443"/>
      <c r="AE39" s="443"/>
      <c r="AF39" s="443"/>
      <c r="AG39" s="443"/>
      <c r="AH39" s="443"/>
      <c r="AI39" s="443"/>
      <c r="AJ39" s="443"/>
      <c r="AK39" s="443"/>
      <c r="AL39" s="443"/>
      <c r="AM39" s="443"/>
      <c r="AN39" s="443"/>
      <c r="AO39" s="443"/>
      <c r="AP39" s="443"/>
      <c r="AQ39" s="444">
        <f>+AC39+AE39+AG39+AI39+AK39+AM39+AO39</f>
        <v>0</v>
      </c>
      <c r="AR39" s="445">
        <f aca="true" t="shared" si="7" ref="AR39:AR45">+AD39+AF39+AH39+AJ39+AL39+AN39+AP39</f>
        <v>0</v>
      </c>
      <c r="AW39" s="446"/>
      <c r="AX39" s="446"/>
      <c r="AY39" s="446"/>
      <c r="AZ39" s="446"/>
      <c r="BA39" s="446"/>
      <c r="BB39" s="446"/>
    </row>
    <row r="40" spans="1:54" s="6" customFormat="1" ht="3.75" customHeight="1" hidden="1" thickBot="1">
      <c r="A40" s="381"/>
      <c r="B40" s="381"/>
      <c r="C40" s="381"/>
      <c r="D40" s="381"/>
      <c r="E40" s="381"/>
      <c r="F40" s="381"/>
      <c r="G40" s="441"/>
      <c r="H40" s="431"/>
      <c r="I40" s="310"/>
      <c r="J40" s="432"/>
      <c r="K40" s="432"/>
      <c r="L40" s="432"/>
      <c r="M40" s="312"/>
      <c r="N40" s="312"/>
      <c r="O40" s="469"/>
      <c r="P40" s="470"/>
      <c r="Q40" s="434"/>
      <c r="R40" s="434"/>
      <c r="S40" s="434"/>
      <c r="T40" s="434"/>
      <c r="U40" s="434"/>
      <c r="V40" s="434"/>
      <c r="W40" s="471"/>
      <c r="X40" s="471"/>
      <c r="Y40" s="471"/>
      <c r="Z40" s="435"/>
      <c r="AA40" s="435"/>
      <c r="AB40" s="450" t="s">
        <v>281</v>
      </c>
      <c r="AC40" s="443"/>
      <c r="AD40" s="443"/>
      <c r="AE40" s="443"/>
      <c r="AF40" s="443"/>
      <c r="AG40" s="443"/>
      <c r="AH40" s="443"/>
      <c r="AI40" s="443"/>
      <c r="AJ40" s="443"/>
      <c r="AK40" s="443"/>
      <c r="AL40" s="443"/>
      <c r="AM40" s="443"/>
      <c r="AN40" s="443"/>
      <c r="AO40" s="443"/>
      <c r="AP40" s="443"/>
      <c r="AQ40" s="444">
        <f aca="true" t="shared" si="8" ref="AQ40:AQ45">+AC40+AE40+AG40+AI40+AK40+AM40+AO40</f>
        <v>0</v>
      </c>
      <c r="AR40" s="445">
        <f t="shared" si="7"/>
        <v>0</v>
      </c>
      <c r="AW40" s="446"/>
      <c r="AX40" s="446"/>
      <c r="AY40" s="446"/>
      <c r="AZ40" s="446"/>
      <c r="BA40" s="446"/>
      <c r="BB40" s="446"/>
    </row>
    <row r="41" spans="1:54" s="6" customFormat="1" ht="14.25" customHeight="1" hidden="1" thickBot="1">
      <c r="A41" s="381"/>
      <c r="B41" s="381"/>
      <c r="C41" s="381"/>
      <c r="D41" s="381"/>
      <c r="E41" s="381"/>
      <c r="F41" s="381"/>
      <c r="G41" s="441"/>
      <c r="H41" s="431"/>
      <c r="I41" s="310"/>
      <c r="J41" s="432"/>
      <c r="K41" s="432"/>
      <c r="L41" s="432"/>
      <c r="M41" s="312"/>
      <c r="N41" s="312"/>
      <c r="O41" s="469"/>
      <c r="P41" s="470"/>
      <c r="Q41" s="434"/>
      <c r="R41" s="434"/>
      <c r="S41" s="434"/>
      <c r="T41" s="434"/>
      <c r="U41" s="434"/>
      <c r="V41" s="434"/>
      <c r="W41" s="471"/>
      <c r="X41" s="471"/>
      <c r="Y41" s="471"/>
      <c r="Z41" s="435"/>
      <c r="AA41" s="435"/>
      <c r="AB41" s="442" t="s">
        <v>237</v>
      </c>
      <c r="AC41" s="443"/>
      <c r="AD41" s="443"/>
      <c r="AE41" s="443"/>
      <c r="AF41" s="443"/>
      <c r="AG41" s="443"/>
      <c r="AH41" s="443"/>
      <c r="AI41" s="443"/>
      <c r="AJ41" s="443"/>
      <c r="AK41" s="443"/>
      <c r="AL41" s="443"/>
      <c r="AM41" s="443"/>
      <c r="AN41" s="443"/>
      <c r="AO41" s="443"/>
      <c r="AP41" s="443"/>
      <c r="AQ41" s="444">
        <f t="shared" si="8"/>
        <v>0</v>
      </c>
      <c r="AR41" s="445">
        <f t="shared" si="7"/>
        <v>0</v>
      </c>
      <c r="AW41" s="446"/>
      <c r="AX41" s="446"/>
      <c r="AY41" s="446"/>
      <c r="AZ41" s="446"/>
      <c r="BA41" s="446"/>
      <c r="BB41" s="446"/>
    </row>
    <row r="42" spans="1:54" s="6" customFormat="1" ht="14.25" customHeight="1" hidden="1" thickBot="1">
      <c r="A42" s="381"/>
      <c r="B42" s="381"/>
      <c r="C42" s="381"/>
      <c r="D42" s="381"/>
      <c r="E42" s="381"/>
      <c r="F42" s="381"/>
      <c r="G42" s="441"/>
      <c r="H42" s="431"/>
      <c r="I42" s="310"/>
      <c r="J42" s="432"/>
      <c r="K42" s="432"/>
      <c r="L42" s="432"/>
      <c r="M42" s="312"/>
      <c r="N42" s="312"/>
      <c r="O42" s="469"/>
      <c r="P42" s="470"/>
      <c r="Q42" s="434"/>
      <c r="R42" s="434"/>
      <c r="S42" s="434"/>
      <c r="T42" s="434"/>
      <c r="U42" s="434"/>
      <c r="V42" s="434"/>
      <c r="W42" s="471"/>
      <c r="X42" s="471"/>
      <c r="Y42" s="471"/>
      <c r="Z42" s="435"/>
      <c r="AA42" s="435"/>
      <c r="AB42" s="442" t="s">
        <v>238</v>
      </c>
      <c r="AC42" s="443"/>
      <c r="AD42" s="443"/>
      <c r="AE42" s="443"/>
      <c r="AF42" s="443"/>
      <c r="AG42" s="443"/>
      <c r="AH42" s="443"/>
      <c r="AI42" s="443"/>
      <c r="AJ42" s="443"/>
      <c r="AK42" s="443"/>
      <c r="AL42" s="443"/>
      <c r="AM42" s="443"/>
      <c r="AN42" s="443"/>
      <c r="AO42" s="443"/>
      <c r="AP42" s="443"/>
      <c r="AQ42" s="444">
        <f t="shared" si="8"/>
        <v>0</v>
      </c>
      <c r="AR42" s="445">
        <f t="shared" si="7"/>
        <v>0</v>
      </c>
      <c r="AW42" s="446"/>
      <c r="AX42" s="446"/>
      <c r="AY42" s="446"/>
      <c r="AZ42" s="446"/>
      <c r="BA42" s="446"/>
      <c r="BB42" s="446"/>
    </row>
    <row r="43" spans="1:54" s="6" customFormat="1" ht="14.25" customHeight="1" hidden="1" thickBot="1">
      <c r="A43" s="381"/>
      <c r="B43" s="381"/>
      <c r="C43" s="381"/>
      <c r="D43" s="381"/>
      <c r="E43" s="381"/>
      <c r="F43" s="381"/>
      <c r="G43" s="441"/>
      <c r="H43" s="431"/>
      <c r="I43" s="310"/>
      <c r="J43" s="432"/>
      <c r="K43" s="432"/>
      <c r="L43" s="432"/>
      <c r="M43" s="312"/>
      <c r="N43" s="312"/>
      <c r="O43" s="469"/>
      <c r="P43" s="470"/>
      <c r="Q43" s="434"/>
      <c r="R43" s="434"/>
      <c r="S43" s="434"/>
      <c r="T43" s="434"/>
      <c r="U43" s="434"/>
      <c r="V43" s="434"/>
      <c r="W43" s="471"/>
      <c r="X43" s="471"/>
      <c r="Y43" s="471"/>
      <c r="Z43" s="435"/>
      <c r="AA43" s="435"/>
      <c r="AB43" s="442" t="s">
        <v>239</v>
      </c>
      <c r="AC43" s="443"/>
      <c r="AD43" s="443"/>
      <c r="AE43" s="443"/>
      <c r="AF43" s="443"/>
      <c r="AG43" s="443"/>
      <c r="AH43" s="443"/>
      <c r="AI43" s="443"/>
      <c r="AJ43" s="443"/>
      <c r="AK43" s="443"/>
      <c r="AL43" s="443"/>
      <c r="AM43" s="443"/>
      <c r="AN43" s="443"/>
      <c r="AO43" s="443"/>
      <c r="AP43" s="443"/>
      <c r="AQ43" s="444">
        <f t="shared" si="8"/>
        <v>0</v>
      </c>
      <c r="AR43" s="445">
        <f t="shared" si="7"/>
        <v>0</v>
      </c>
      <c r="AW43" s="446"/>
      <c r="AX43" s="446"/>
      <c r="AY43" s="446"/>
      <c r="AZ43" s="446"/>
      <c r="BA43" s="446"/>
      <c r="BB43" s="446"/>
    </row>
    <row r="44" spans="1:54" s="6" customFormat="1" ht="14.25" customHeight="1" hidden="1" thickBot="1">
      <c r="A44" s="381"/>
      <c r="B44" s="381"/>
      <c r="C44" s="381"/>
      <c r="D44" s="381"/>
      <c r="E44" s="381"/>
      <c r="F44" s="381"/>
      <c r="G44" s="441"/>
      <c r="H44" s="431"/>
      <c r="I44" s="310"/>
      <c r="J44" s="432"/>
      <c r="K44" s="432"/>
      <c r="L44" s="432"/>
      <c r="M44" s="312"/>
      <c r="N44" s="312"/>
      <c r="O44" s="469"/>
      <c r="P44" s="470"/>
      <c r="Q44" s="434"/>
      <c r="R44" s="434"/>
      <c r="S44" s="434"/>
      <c r="T44" s="434"/>
      <c r="U44" s="434"/>
      <c r="V44" s="434"/>
      <c r="W44" s="471"/>
      <c r="X44" s="471"/>
      <c r="Y44" s="471"/>
      <c r="Z44" s="435"/>
      <c r="AA44" s="435"/>
      <c r="AB44" s="442" t="s">
        <v>240</v>
      </c>
      <c r="AC44" s="443"/>
      <c r="AD44" s="443"/>
      <c r="AE44" s="443"/>
      <c r="AF44" s="443"/>
      <c r="AG44" s="443"/>
      <c r="AH44" s="443"/>
      <c r="AI44" s="443"/>
      <c r="AJ44" s="443"/>
      <c r="AK44" s="443"/>
      <c r="AL44" s="443"/>
      <c r="AM44" s="443"/>
      <c r="AN44" s="443"/>
      <c r="AO44" s="443"/>
      <c r="AP44" s="443"/>
      <c r="AQ44" s="444">
        <f t="shared" si="8"/>
        <v>0</v>
      </c>
      <c r="AR44" s="445">
        <f t="shared" si="7"/>
        <v>0</v>
      </c>
      <c r="AW44" s="446"/>
      <c r="AX44" s="446"/>
      <c r="AY44" s="446"/>
      <c r="AZ44" s="446"/>
      <c r="BA44" s="446"/>
      <c r="BB44" s="446"/>
    </row>
    <row r="45" spans="1:54" s="6" customFormat="1" ht="14.25" customHeight="1" hidden="1" thickBot="1">
      <c r="A45" s="381"/>
      <c r="B45" s="381"/>
      <c r="C45" s="381"/>
      <c r="D45" s="381"/>
      <c r="E45" s="381"/>
      <c r="F45" s="381"/>
      <c r="G45" s="441"/>
      <c r="H45" s="431"/>
      <c r="I45" s="310"/>
      <c r="J45" s="432"/>
      <c r="K45" s="432"/>
      <c r="L45" s="432"/>
      <c r="M45" s="312"/>
      <c r="N45" s="312"/>
      <c r="O45" s="469"/>
      <c r="P45" s="470"/>
      <c r="Q45" s="434"/>
      <c r="R45" s="434"/>
      <c r="S45" s="434"/>
      <c r="T45" s="434"/>
      <c r="U45" s="434"/>
      <c r="V45" s="434"/>
      <c r="W45" s="471"/>
      <c r="X45" s="471"/>
      <c r="Y45" s="471"/>
      <c r="Z45" s="435"/>
      <c r="AA45" s="435"/>
      <c r="AB45" s="442" t="s">
        <v>241</v>
      </c>
      <c r="AC45" s="443"/>
      <c r="AD45" s="443"/>
      <c r="AE45" s="443"/>
      <c r="AF45" s="443"/>
      <c r="AG45" s="443"/>
      <c r="AH45" s="443"/>
      <c r="AI45" s="443"/>
      <c r="AJ45" s="443"/>
      <c r="AK45" s="443"/>
      <c r="AL45" s="443"/>
      <c r="AM45" s="443"/>
      <c r="AN45" s="443"/>
      <c r="AO45" s="443"/>
      <c r="AP45" s="443"/>
      <c r="AQ45" s="444">
        <f t="shared" si="8"/>
        <v>0</v>
      </c>
      <c r="AR45" s="445">
        <f t="shared" si="7"/>
        <v>0</v>
      </c>
      <c r="AW45" s="446"/>
      <c r="AX45" s="446"/>
      <c r="AY45" s="446"/>
      <c r="AZ45" s="446"/>
      <c r="BA45" s="446"/>
      <c r="BB45" s="446"/>
    </row>
    <row r="46" spans="1:54" s="6" customFormat="1" ht="14.25" customHeight="1" hidden="1" thickBot="1">
      <c r="A46" s="381"/>
      <c r="B46" s="381"/>
      <c r="C46" s="381"/>
      <c r="D46" s="381"/>
      <c r="E46" s="381"/>
      <c r="F46" s="381"/>
      <c r="G46" s="441"/>
      <c r="H46" s="431"/>
      <c r="I46" s="310"/>
      <c r="J46" s="432"/>
      <c r="K46" s="432"/>
      <c r="L46" s="432"/>
      <c r="M46" s="312"/>
      <c r="N46" s="312"/>
      <c r="O46" s="469"/>
      <c r="P46" s="470"/>
      <c r="Q46" s="434"/>
      <c r="R46" s="434"/>
      <c r="S46" s="434"/>
      <c r="T46" s="434"/>
      <c r="U46" s="434"/>
      <c r="V46" s="434"/>
      <c r="W46" s="471"/>
      <c r="X46" s="471"/>
      <c r="Y46" s="471"/>
      <c r="Z46" s="435"/>
      <c r="AA46" s="435"/>
      <c r="AB46" s="447" t="s">
        <v>282</v>
      </c>
      <c r="AC46" s="448">
        <f aca="true" t="shared" si="9" ref="AC46:AR46">SUM(AC40:AC45)+IF(AC38=0,AC39,AC38)</f>
        <v>0</v>
      </c>
      <c r="AD46" s="448">
        <f t="shared" si="9"/>
        <v>0</v>
      </c>
      <c r="AE46" s="448">
        <f t="shared" si="9"/>
        <v>0</v>
      </c>
      <c r="AF46" s="448">
        <f t="shared" si="9"/>
        <v>0</v>
      </c>
      <c r="AG46" s="448">
        <f t="shared" si="9"/>
        <v>0</v>
      </c>
      <c r="AH46" s="448">
        <f t="shared" si="9"/>
        <v>0</v>
      </c>
      <c r="AI46" s="448">
        <f t="shared" si="9"/>
        <v>0</v>
      </c>
      <c r="AJ46" s="448">
        <f t="shared" si="9"/>
        <v>0</v>
      </c>
      <c r="AK46" s="448">
        <f t="shared" si="9"/>
        <v>0</v>
      </c>
      <c r="AL46" s="448">
        <f t="shared" si="9"/>
        <v>0</v>
      </c>
      <c r="AM46" s="448">
        <f t="shared" si="9"/>
        <v>0</v>
      </c>
      <c r="AN46" s="448">
        <f t="shared" si="9"/>
        <v>0</v>
      </c>
      <c r="AO46" s="448">
        <f t="shared" si="9"/>
        <v>0</v>
      </c>
      <c r="AP46" s="448">
        <f t="shared" si="9"/>
        <v>0</v>
      </c>
      <c r="AQ46" s="448">
        <f t="shared" si="9"/>
        <v>0</v>
      </c>
      <c r="AR46" s="449">
        <f t="shared" si="9"/>
        <v>0</v>
      </c>
      <c r="AW46" s="446"/>
      <c r="AX46" s="446"/>
      <c r="AY46" s="446"/>
      <c r="AZ46" s="446"/>
      <c r="BA46" s="446"/>
      <c r="BB46" s="446"/>
    </row>
    <row r="47" spans="1:54" s="6" customFormat="1" ht="96.75" customHeight="1" hidden="1" thickBot="1">
      <c r="A47" s="381"/>
      <c r="B47" s="381"/>
      <c r="C47" s="381"/>
      <c r="D47" s="381"/>
      <c r="E47" s="381"/>
      <c r="F47" s="381"/>
      <c r="G47" s="441"/>
      <c r="H47" s="451"/>
      <c r="I47" s="330"/>
      <c r="J47" s="452"/>
      <c r="K47" s="452"/>
      <c r="L47" s="452"/>
      <c r="M47" s="332"/>
      <c r="N47" s="332"/>
      <c r="O47" s="472"/>
      <c r="P47" s="473"/>
      <c r="Q47" s="454"/>
      <c r="R47" s="454"/>
      <c r="S47" s="454"/>
      <c r="T47" s="454"/>
      <c r="U47" s="454"/>
      <c r="V47" s="454"/>
      <c r="W47" s="474"/>
      <c r="X47" s="474"/>
      <c r="Y47" s="474"/>
      <c r="Z47" s="455"/>
      <c r="AA47" s="455"/>
      <c r="AB47" s="457" t="s">
        <v>283</v>
      </c>
      <c r="AC47" s="458"/>
      <c r="AD47" s="458"/>
      <c r="AE47" s="458"/>
      <c r="AF47" s="458"/>
      <c r="AG47" s="458"/>
      <c r="AH47" s="458"/>
      <c r="AI47" s="458"/>
      <c r="AJ47" s="458"/>
      <c r="AK47" s="458"/>
      <c r="AL47" s="458"/>
      <c r="AM47" s="458"/>
      <c r="AN47" s="458"/>
      <c r="AO47" s="458"/>
      <c r="AP47" s="458"/>
      <c r="AQ47" s="459">
        <f aca="true" t="shared" si="10" ref="AQ47:AR53">+AC47+AE47+AG47+AI47+AK47+AM47+AO47</f>
        <v>0</v>
      </c>
      <c r="AR47" s="460">
        <f t="shared" si="10"/>
        <v>0</v>
      </c>
      <c r="AW47" s="446"/>
      <c r="AX47" s="446"/>
      <c r="AY47" s="446"/>
      <c r="AZ47" s="446"/>
      <c r="BA47" s="446"/>
      <c r="BB47" s="446"/>
    </row>
    <row r="48" spans="1:54" s="6" customFormat="1" ht="14.25" customHeight="1">
      <c r="A48" s="381" t="s">
        <v>292</v>
      </c>
      <c r="B48" s="381" t="s">
        <v>293</v>
      </c>
      <c r="C48" s="381" t="s">
        <v>218</v>
      </c>
      <c r="D48" s="381" t="s">
        <v>219</v>
      </c>
      <c r="E48" s="381" t="s">
        <v>220</v>
      </c>
      <c r="F48" s="381" t="s">
        <v>153</v>
      </c>
      <c r="G48" s="441">
        <v>7</v>
      </c>
      <c r="H48" s="416">
        <v>886</v>
      </c>
      <c r="I48" s="294" t="s">
        <v>46</v>
      </c>
      <c r="J48" s="417"/>
      <c r="K48" s="418" t="s">
        <v>26</v>
      </c>
      <c r="L48" s="475"/>
      <c r="M48" s="297">
        <v>0</v>
      </c>
      <c r="N48" s="297" t="s">
        <v>294</v>
      </c>
      <c r="O48" s="419">
        <v>1</v>
      </c>
      <c r="P48" s="419">
        <v>0.5</v>
      </c>
      <c r="Q48" s="420">
        <f>SUMIF('Actividades inversión 886'!$B$13:$B$50,'Metas inversión 886'!$B48,'Actividades inversión 886'!M$13:M$50)</f>
        <v>2548412860</v>
      </c>
      <c r="R48" s="420">
        <f>SUMIF('Actividades inversión 886'!$B$13:$B$50,'Metas inversión 886'!$B48,'Actividades inversión 886'!N$13:N$50)</f>
        <v>3035880800</v>
      </c>
      <c r="S48" s="420">
        <f>SUMIF('Actividades inversión 886'!$B$13:$B$50,'Metas inversión 886'!$B48,'Actividades inversión 886'!O$13:O$50)</f>
        <v>2423171720</v>
      </c>
      <c r="T48" s="420">
        <f>SUMIF('Actividades inversión 886'!$B$13:$B$50,'Metas inversión 886'!$B48,'Actividades inversión 886'!P$13:P$50)</f>
        <v>355042905</v>
      </c>
      <c r="U48" s="420">
        <f>SUMIF('Actividades inversión 886'!$B$13:$B$50,'Metas inversión 886'!$B48,'Actividades inversión 886'!Q$13:Q$50)</f>
        <v>236973479</v>
      </c>
      <c r="V48" s="420">
        <f>SUMIF('Actividades inversión 886'!$B$13:$B$50,'Metas inversión 886'!$B48,'Actividades inversión 886'!R$13:R$50)</f>
        <v>195795419</v>
      </c>
      <c r="W48" s="421" t="s">
        <v>295</v>
      </c>
      <c r="X48" s="422" t="s">
        <v>296</v>
      </c>
      <c r="Y48" s="422" t="s">
        <v>297</v>
      </c>
      <c r="Z48" s="421"/>
      <c r="AA48" s="421"/>
      <c r="AB48" s="465" t="s">
        <v>280</v>
      </c>
      <c r="AC48" s="466"/>
      <c r="AD48" s="466"/>
      <c r="AE48" s="466"/>
      <c r="AF48" s="466"/>
      <c r="AG48" s="466"/>
      <c r="AH48" s="466"/>
      <c r="AI48" s="466"/>
      <c r="AJ48" s="466"/>
      <c r="AK48" s="466"/>
      <c r="AL48" s="466"/>
      <c r="AM48" s="466"/>
      <c r="AN48" s="466"/>
      <c r="AO48" s="466"/>
      <c r="AP48" s="466"/>
      <c r="AQ48" s="467">
        <f t="shared" si="10"/>
        <v>0</v>
      </c>
      <c r="AR48" s="468">
        <f t="shared" si="10"/>
        <v>0</v>
      </c>
      <c r="AW48" s="446">
        <f>+'[4]99-METROPOLITANO'!N46</f>
        <v>2548412860</v>
      </c>
      <c r="AX48" s="446">
        <f>+'[4]99-METROPOLITANO'!O46</f>
        <v>3035880800</v>
      </c>
      <c r="AY48" s="446">
        <f>+'[4]99-METROPOLITANO'!P46</f>
        <v>2423171720</v>
      </c>
      <c r="AZ48" s="446">
        <f>+'[4]99-METROPOLITANO'!Q46</f>
        <v>355042905</v>
      </c>
      <c r="BA48" s="446">
        <f>+'[4]99-METROPOLITANO'!R46</f>
        <v>236973479</v>
      </c>
      <c r="BB48" s="446">
        <f>+'[4]99-METROPOLITANO'!S46</f>
        <v>195795419</v>
      </c>
    </row>
    <row r="49" spans="1:54" s="6" customFormat="1" ht="14.25" customHeight="1">
      <c r="A49" s="381"/>
      <c r="B49" s="381"/>
      <c r="C49" s="381"/>
      <c r="D49" s="381"/>
      <c r="E49" s="381"/>
      <c r="F49" s="381"/>
      <c r="G49" s="441"/>
      <c r="H49" s="431"/>
      <c r="I49" s="310"/>
      <c r="J49" s="432"/>
      <c r="K49" s="432"/>
      <c r="L49" s="476"/>
      <c r="M49" s="312"/>
      <c r="N49" s="312"/>
      <c r="O49" s="433"/>
      <c r="P49" s="433"/>
      <c r="Q49" s="434"/>
      <c r="R49" s="434"/>
      <c r="S49" s="434"/>
      <c r="T49" s="434"/>
      <c r="U49" s="434"/>
      <c r="V49" s="434"/>
      <c r="W49" s="435"/>
      <c r="X49" s="477"/>
      <c r="Y49" s="477"/>
      <c r="Z49" s="435"/>
      <c r="AA49" s="478"/>
      <c r="AB49" s="450" t="s">
        <v>229</v>
      </c>
      <c r="AC49" s="443"/>
      <c r="AD49" s="443"/>
      <c r="AE49" s="443"/>
      <c r="AF49" s="443"/>
      <c r="AG49" s="443"/>
      <c r="AH49" s="443"/>
      <c r="AI49" s="443"/>
      <c r="AJ49" s="443"/>
      <c r="AK49" s="443"/>
      <c r="AL49" s="443"/>
      <c r="AM49" s="443"/>
      <c r="AN49" s="443"/>
      <c r="AO49" s="443"/>
      <c r="AP49" s="443"/>
      <c r="AQ49" s="444">
        <f t="shared" si="10"/>
        <v>0</v>
      </c>
      <c r="AR49" s="445">
        <f t="shared" si="10"/>
        <v>0</v>
      </c>
      <c r="AW49" s="446"/>
      <c r="AX49" s="446"/>
      <c r="AY49" s="446"/>
      <c r="AZ49" s="446"/>
      <c r="BA49" s="446"/>
      <c r="BB49" s="446"/>
    </row>
    <row r="50" spans="1:54" s="6" customFormat="1" ht="14.25" customHeight="1">
      <c r="A50" s="381"/>
      <c r="B50" s="381"/>
      <c r="C50" s="381"/>
      <c r="D50" s="381"/>
      <c r="E50" s="381"/>
      <c r="F50" s="381"/>
      <c r="G50" s="441"/>
      <c r="H50" s="431"/>
      <c r="I50" s="310"/>
      <c r="J50" s="432"/>
      <c r="K50" s="432"/>
      <c r="L50" s="476"/>
      <c r="M50" s="312"/>
      <c r="N50" s="312"/>
      <c r="O50" s="433"/>
      <c r="P50" s="433"/>
      <c r="Q50" s="434"/>
      <c r="R50" s="434"/>
      <c r="S50" s="434"/>
      <c r="T50" s="434"/>
      <c r="U50" s="434"/>
      <c r="V50" s="434"/>
      <c r="W50" s="435"/>
      <c r="X50" s="477"/>
      <c r="Y50" s="477"/>
      <c r="Z50" s="435"/>
      <c r="AA50" s="478"/>
      <c r="AB50" s="450" t="s">
        <v>230</v>
      </c>
      <c r="AC50" s="443"/>
      <c r="AD50" s="443"/>
      <c r="AE50" s="443"/>
      <c r="AF50" s="443"/>
      <c r="AG50" s="443"/>
      <c r="AH50" s="443"/>
      <c r="AI50" s="443"/>
      <c r="AJ50" s="443"/>
      <c r="AK50" s="443"/>
      <c r="AL50" s="443"/>
      <c r="AM50" s="443"/>
      <c r="AN50" s="443"/>
      <c r="AO50" s="443"/>
      <c r="AP50" s="443"/>
      <c r="AQ50" s="444">
        <f t="shared" si="10"/>
        <v>0</v>
      </c>
      <c r="AR50" s="445">
        <f t="shared" si="10"/>
        <v>0</v>
      </c>
      <c r="AW50" s="446"/>
      <c r="AX50" s="446"/>
      <c r="AY50" s="446"/>
      <c r="AZ50" s="446"/>
      <c r="BA50" s="446"/>
      <c r="BB50" s="446"/>
    </row>
    <row r="51" spans="1:54" s="6" customFormat="1" ht="3" customHeight="1">
      <c r="A51" s="381"/>
      <c r="B51" s="381"/>
      <c r="C51" s="381"/>
      <c r="D51" s="381"/>
      <c r="E51" s="381"/>
      <c r="F51" s="381"/>
      <c r="G51" s="441"/>
      <c r="H51" s="431"/>
      <c r="I51" s="310"/>
      <c r="J51" s="432"/>
      <c r="K51" s="432"/>
      <c r="L51" s="476"/>
      <c r="M51" s="312"/>
      <c r="N51" s="312"/>
      <c r="O51" s="433"/>
      <c r="P51" s="433"/>
      <c r="Q51" s="434"/>
      <c r="R51" s="434"/>
      <c r="S51" s="434"/>
      <c r="T51" s="434"/>
      <c r="U51" s="434"/>
      <c r="V51" s="434"/>
      <c r="W51" s="435"/>
      <c r="X51" s="477"/>
      <c r="Y51" s="477"/>
      <c r="Z51" s="435"/>
      <c r="AA51" s="478"/>
      <c r="AB51" s="450" t="s">
        <v>231</v>
      </c>
      <c r="AC51" s="443"/>
      <c r="AD51" s="443"/>
      <c r="AE51" s="443"/>
      <c r="AF51" s="443"/>
      <c r="AG51" s="443"/>
      <c r="AH51" s="443"/>
      <c r="AI51" s="443"/>
      <c r="AJ51" s="443"/>
      <c r="AK51" s="443"/>
      <c r="AL51" s="443"/>
      <c r="AM51" s="443"/>
      <c r="AN51" s="443"/>
      <c r="AO51" s="443"/>
      <c r="AP51" s="443"/>
      <c r="AQ51" s="444">
        <f t="shared" si="10"/>
        <v>0</v>
      </c>
      <c r="AR51" s="445">
        <f t="shared" si="10"/>
        <v>0</v>
      </c>
      <c r="AW51" s="446"/>
      <c r="AX51" s="446"/>
      <c r="AY51" s="446"/>
      <c r="AZ51" s="446"/>
      <c r="BA51" s="446"/>
      <c r="BB51" s="446"/>
    </row>
    <row r="52" spans="1:54" s="6" customFormat="1" ht="14.25" customHeight="1">
      <c r="A52" s="381"/>
      <c r="B52" s="381"/>
      <c r="C52" s="381"/>
      <c r="D52" s="381"/>
      <c r="E52" s="381"/>
      <c r="F52" s="381"/>
      <c r="G52" s="441"/>
      <c r="H52" s="431"/>
      <c r="I52" s="310"/>
      <c r="J52" s="432"/>
      <c r="K52" s="432"/>
      <c r="L52" s="476"/>
      <c r="M52" s="312"/>
      <c r="N52" s="312"/>
      <c r="O52" s="433"/>
      <c r="P52" s="433"/>
      <c r="Q52" s="434"/>
      <c r="R52" s="434"/>
      <c r="S52" s="434"/>
      <c r="T52" s="434"/>
      <c r="U52" s="434"/>
      <c r="V52" s="434"/>
      <c r="W52" s="435"/>
      <c r="X52" s="477"/>
      <c r="Y52" s="477"/>
      <c r="Z52" s="435"/>
      <c r="AA52" s="478"/>
      <c r="AB52" s="450" t="s">
        <v>232</v>
      </c>
      <c r="AC52" s="443"/>
      <c r="AD52" s="443"/>
      <c r="AE52" s="443"/>
      <c r="AF52" s="443"/>
      <c r="AG52" s="443"/>
      <c r="AH52" s="443"/>
      <c r="AI52" s="443"/>
      <c r="AJ52" s="443"/>
      <c r="AK52" s="443"/>
      <c r="AL52" s="443"/>
      <c r="AM52" s="443"/>
      <c r="AN52" s="443"/>
      <c r="AO52" s="443"/>
      <c r="AP52" s="443"/>
      <c r="AQ52" s="444">
        <f t="shared" si="10"/>
        <v>0</v>
      </c>
      <c r="AR52" s="445">
        <f t="shared" si="10"/>
        <v>0</v>
      </c>
      <c r="AW52" s="446"/>
      <c r="AX52" s="446"/>
      <c r="AY52" s="446"/>
      <c r="AZ52" s="446"/>
      <c r="BA52" s="446"/>
      <c r="BB52" s="446"/>
    </row>
    <row r="53" spans="1:54" s="6" customFormat="1" ht="15.75">
      <c r="A53" s="381"/>
      <c r="B53" s="381"/>
      <c r="C53" s="381"/>
      <c r="D53" s="381"/>
      <c r="E53" s="381"/>
      <c r="F53" s="381"/>
      <c r="G53" s="441"/>
      <c r="H53" s="431"/>
      <c r="I53" s="310"/>
      <c r="J53" s="432"/>
      <c r="K53" s="432"/>
      <c r="L53" s="476"/>
      <c r="M53" s="312"/>
      <c r="N53" s="312"/>
      <c r="O53" s="433"/>
      <c r="P53" s="433"/>
      <c r="Q53" s="434"/>
      <c r="R53" s="434"/>
      <c r="S53" s="434"/>
      <c r="T53" s="434"/>
      <c r="U53" s="434"/>
      <c r="V53" s="434"/>
      <c r="W53" s="435"/>
      <c r="X53" s="477"/>
      <c r="Y53" s="477"/>
      <c r="Z53" s="435"/>
      <c r="AA53" s="478"/>
      <c r="AB53" s="442" t="s">
        <v>233</v>
      </c>
      <c r="AC53" s="443"/>
      <c r="AD53" s="443"/>
      <c r="AE53" s="443"/>
      <c r="AF53" s="443"/>
      <c r="AG53" s="443"/>
      <c r="AH53" s="443"/>
      <c r="AI53" s="443"/>
      <c r="AJ53" s="443"/>
      <c r="AK53" s="443"/>
      <c r="AL53" s="443"/>
      <c r="AM53" s="443"/>
      <c r="AN53" s="443"/>
      <c r="AO53" s="443"/>
      <c r="AP53" s="443"/>
      <c r="AQ53" s="444">
        <f t="shared" si="10"/>
        <v>0</v>
      </c>
      <c r="AR53" s="445">
        <f t="shared" si="10"/>
        <v>0</v>
      </c>
      <c r="AW53" s="446"/>
      <c r="AX53" s="446"/>
      <c r="AY53" s="446"/>
      <c r="AZ53" s="446"/>
      <c r="BA53" s="446"/>
      <c r="BB53" s="446"/>
    </row>
    <row r="54" spans="1:54" s="6" customFormat="1" ht="22.5" customHeight="1">
      <c r="A54" s="381"/>
      <c r="B54" s="381"/>
      <c r="C54" s="381"/>
      <c r="D54" s="381"/>
      <c r="E54" s="381"/>
      <c r="F54" s="381"/>
      <c r="G54" s="441"/>
      <c r="H54" s="431"/>
      <c r="I54" s="310"/>
      <c r="J54" s="432"/>
      <c r="K54" s="432"/>
      <c r="L54" s="476"/>
      <c r="M54" s="312"/>
      <c r="N54" s="312"/>
      <c r="O54" s="433"/>
      <c r="P54" s="433"/>
      <c r="Q54" s="434"/>
      <c r="R54" s="434"/>
      <c r="S54" s="434"/>
      <c r="T54" s="434"/>
      <c r="U54" s="434"/>
      <c r="V54" s="434"/>
      <c r="W54" s="435"/>
      <c r="X54" s="477"/>
      <c r="Y54" s="477"/>
      <c r="Z54" s="435"/>
      <c r="AA54" s="478"/>
      <c r="AB54" s="447" t="s">
        <v>234</v>
      </c>
      <c r="AC54" s="448">
        <f aca="true" t="shared" si="11" ref="AC54:AR54">SUM(AC48:AC53)</f>
        <v>0</v>
      </c>
      <c r="AD54" s="448">
        <f t="shared" si="11"/>
        <v>0</v>
      </c>
      <c r="AE54" s="448">
        <f t="shared" si="11"/>
        <v>0</v>
      </c>
      <c r="AF54" s="448">
        <f t="shared" si="11"/>
        <v>0</v>
      </c>
      <c r="AG54" s="448">
        <f t="shared" si="11"/>
        <v>0</v>
      </c>
      <c r="AH54" s="448">
        <f t="shared" si="11"/>
        <v>0</v>
      </c>
      <c r="AI54" s="448">
        <f t="shared" si="11"/>
        <v>0</v>
      </c>
      <c r="AJ54" s="448">
        <f t="shared" si="11"/>
        <v>0</v>
      </c>
      <c r="AK54" s="448">
        <f t="shared" si="11"/>
        <v>0</v>
      </c>
      <c r="AL54" s="448">
        <f t="shared" si="11"/>
        <v>0</v>
      </c>
      <c r="AM54" s="448">
        <f t="shared" si="11"/>
        <v>0</v>
      </c>
      <c r="AN54" s="448">
        <f t="shared" si="11"/>
        <v>0</v>
      </c>
      <c r="AO54" s="448">
        <f t="shared" si="11"/>
        <v>0</v>
      </c>
      <c r="AP54" s="448">
        <f t="shared" si="11"/>
        <v>0</v>
      </c>
      <c r="AQ54" s="448">
        <f t="shared" si="11"/>
        <v>0</v>
      </c>
      <c r="AR54" s="449">
        <f t="shared" si="11"/>
        <v>0</v>
      </c>
      <c r="AW54" s="446"/>
      <c r="AX54" s="446"/>
      <c r="AY54" s="446"/>
      <c r="AZ54" s="446"/>
      <c r="BA54" s="446"/>
      <c r="BB54" s="446"/>
    </row>
    <row r="55" spans="1:54" s="6" customFormat="1" ht="14.25" customHeight="1">
      <c r="A55" s="381"/>
      <c r="B55" s="381"/>
      <c r="C55" s="381"/>
      <c r="D55" s="381"/>
      <c r="E55" s="381"/>
      <c r="F55" s="381"/>
      <c r="G55" s="441"/>
      <c r="H55" s="431"/>
      <c r="I55" s="310"/>
      <c r="J55" s="432"/>
      <c r="K55" s="432"/>
      <c r="L55" s="476"/>
      <c r="M55" s="312"/>
      <c r="N55" s="312"/>
      <c r="O55" s="433"/>
      <c r="P55" s="433"/>
      <c r="Q55" s="434"/>
      <c r="R55" s="434"/>
      <c r="S55" s="434"/>
      <c r="T55" s="434"/>
      <c r="U55" s="434"/>
      <c r="V55" s="434"/>
      <c r="W55" s="435"/>
      <c r="X55" s="477"/>
      <c r="Y55" s="477"/>
      <c r="Z55" s="435"/>
      <c r="AA55" s="478"/>
      <c r="AB55" s="450" t="s">
        <v>235</v>
      </c>
      <c r="AC55" s="443"/>
      <c r="AD55" s="443"/>
      <c r="AE55" s="443"/>
      <c r="AF55" s="443"/>
      <c r="AG55" s="443"/>
      <c r="AH55" s="443"/>
      <c r="AI55" s="443"/>
      <c r="AJ55" s="443"/>
      <c r="AK55" s="443"/>
      <c r="AL55" s="443"/>
      <c r="AM55" s="443"/>
      <c r="AN55" s="443"/>
      <c r="AO55" s="443"/>
      <c r="AP55" s="443"/>
      <c r="AQ55" s="444">
        <f>+AC55+AE55+AG55+AI55+AK55+AM55+AO55</f>
        <v>0</v>
      </c>
      <c r="AR55" s="445">
        <f aca="true" t="shared" si="12" ref="AR55:AR61">+AD55+AF55+AH55+AJ55+AL55+AN55+AP55</f>
        <v>0</v>
      </c>
      <c r="AW55" s="446"/>
      <c r="AX55" s="446"/>
      <c r="AY55" s="446"/>
      <c r="AZ55" s="446"/>
      <c r="BA55" s="446"/>
      <c r="BB55" s="446"/>
    </row>
    <row r="56" spans="1:54" s="6" customFormat="1" ht="14.25" customHeight="1">
      <c r="A56" s="381"/>
      <c r="B56" s="381"/>
      <c r="C56" s="381"/>
      <c r="D56" s="381"/>
      <c r="E56" s="381"/>
      <c r="F56" s="381"/>
      <c r="G56" s="441"/>
      <c r="H56" s="431"/>
      <c r="I56" s="310"/>
      <c r="J56" s="432"/>
      <c r="K56" s="432"/>
      <c r="L56" s="476"/>
      <c r="M56" s="312"/>
      <c r="N56" s="312"/>
      <c r="O56" s="433"/>
      <c r="P56" s="433"/>
      <c r="Q56" s="434"/>
      <c r="R56" s="434"/>
      <c r="S56" s="434"/>
      <c r="T56" s="434"/>
      <c r="U56" s="434"/>
      <c r="V56" s="434"/>
      <c r="W56" s="435"/>
      <c r="X56" s="477"/>
      <c r="Y56" s="477"/>
      <c r="Z56" s="435"/>
      <c r="AA56" s="478"/>
      <c r="AB56" s="450" t="s">
        <v>281</v>
      </c>
      <c r="AC56" s="443"/>
      <c r="AD56" s="443"/>
      <c r="AE56" s="443"/>
      <c r="AF56" s="443"/>
      <c r="AG56" s="443"/>
      <c r="AH56" s="443"/>
      <c r="AI56" s="443"/>
      <c r="AJ56" s="443"/>
      <c r="AK56" s="443"/>
      <c r="AL56" s="443"/>
      <c r="AM56" s="443"/>
      <c r="AN56" s="443"/>
      <c r="AO56" s="443"/>
      <c r="AP56" s="443"/>
      <c r="AQ56" s="444">
        <f aca="true" t="shared" si="13" ref="AQ56:AQ61">+AC56+AE56+AG56+AI56+AK56+AM56+AO56</f>
        <v>0</v>
      </c>
      <c r="AR56" s="445">
        <f t="shared" si="12"/>
        <v>0</v>
      </c>
      <c r="AW56" s="446"/>
      <c r="AX56" s="446"/>
      <c r="AY56" s="446"/>
      <c r="AZ56" s="446"/>
      <c r="BA56" s="446"/>
      <c r="BB56" s="446"/>
    </row>
    <row r="57" spans="1:54" s="6" customFormat="1" ht="14.25" customHeight="1">
      <c r="A57" s="381"/>
      <c r="B57" s="381"/>
      <c r="C57" s="381"/>
      <c r="D57" s="381"/>
      <c r="E57" s="381"/>
      <c r="F57" s="381"/>
      <c r="G57" s="441"/>
      <c r="H57" s="431"/>
      <c r="I57" s="310"/>
      <c r="J57" s="432"/>
      <c r="K57" s="432"/>
      <c r="L57" s="476"/>
      <c r="M57" s="312"/>
      <c r="N57" s="312"/>
      <c r="O57" s="433"/>
      <c r="P57" s="433"/>
      <c r="Q57" s="434"/>
      <c r="R57" s="434"/>
      <c r="S57" s="434"/>
      <c r="T57" s="434"/>
      <c r="U57" s="434"/>
      <c r="V57" s="434"/>
      <c r="W57" s="435"/>
      <c r="X57" s="477"/>
      <c r="Y57" s="477"/>
      <c r="Z57" s="435"/>
      <c r="AA57" s="478"/>
      <c r="AB57" s="442" t="s">
        <v>237</v>
      </c>
      <c r="AC57" s="443"/>
      <c r="AD57" s="443"/>
      <c r="AE57" s="443"/>
      <c r="AF57" s="443"/>
      <c r="AG57" s="443"/>
      <c r="AH57" s="443"/>
      <c r="AI57" s="443"/>
      <c r="AJ57" s="443"/>
      <c r="AK57" s="443"/>
      <c r="AL57" s="443"/>
      <c r="AM57" s="443"/>
      <c r="AN57" s="443"/>
      <c r="AO57" s="443"/>
      <c r="AP57" s="443"/>
      <c r="AQ57" s="444">
        <f t="shared" si="13"/>
        <v>0</v>
      </c>
      <c r="AR57" s="445">
        <f t="shared" si="12"/>
        <v>0</v>
      </c>
      <c r="AW57" s="446"/>
      <c r="AX57" s="446"/>
      <c r="AY57" s="446"/>
      <c r="AZ57" s="446"/>
      <c r="BA57" s="446"/>
      <c r="BB57" s="446"/>
    </row>
    <row r="58" spans="1:54" s="6" customFormat="1" ht="14.25" customHeight="1">
      <c r="A58" s="381"/>
      <c r="B58" s="381"/>
      <c r="C58" s="381"/>
      <c r="D58" s="381"/>
      <c r="E58" s="381"/>
      <c r="F58" s="381"/>
      <c r="G58" s="441"/>
      <c r="H58" s="431"/>
      <c r="I58" s="310"/>
      <c r="J58" s="432"/>
      <c r="K58" s="432"/>
      <c r="L58" s="476"/>
      <c r="M58" s="312"/>
      <c r="N58" s="312"/>
      <c r="O58" s="433"/>
      <c r="P58" s="433"/>
      <c r="Q58" s="434"/>
      <c r="R58" s="434"/>
      <c r="S58" s="434"/>
      <c r="T58" s="434"/>
      <c r="U58" s="434"/>
      <c r="V58" s="434"/>
      <c r="W58" s="435"/>
      <c r="X58" s="477"/>
      <c r="Y58" s="477"/>
      <c r="Z58" s="435"/>
      <c r="AA58" s="478"/>
      <c r="AB58" s="442" t="s">
        <v>238</v>
      </c>
      <c r="AC58" s="443"/>
      <c r="AD58" s="443"/>
      <c r="AE58" s="443"/>
      <c r="AF58" s="443"/>
      <c r="AG58" s="443"/>
      <c r="AH58" s="443"/>
      <c r="AI58" s="443"/>
      <c r="AJ58" s="443"/>
      <c r="AK58" s="443"/>
      <c r="AL58" s="443"/>
      <c r="AM58" s="443"/>
      <c r="AN58" s="443"/>
      <c r="AO58" s="443"/>
      <c r="AP58" s="443"/>
      <c r="AQ58" s="444">
        <f t="shared" si="13"/>
        <v>0</v>
      </c>
      <c r="AR58" s="445">
        <f t="shared" si="12"/>
        <v>0</v>
      </c>
      <c r="AW58" s="446"/>
      <c r="AX58" s="446"/>
      <c r="AY58" s="446"/>
      <c r="AZ58" s="446"/>
      <c r="BA58" s="446"/>
      <c r="BB58" s="446"/>
    </row>
    <row r="59" spans="1:54" s="6" customFormat="1" ht="14.25" customHeight="1">
      <c r="A59" s="381"/>
      <c r="B59" s="381"/>
      <c r="C59" s="381"/>
      <c r="D59" s="381"/>
      <c r="E59" s="381"/>
      <c r="F59" s="381"/>
      <c r="G59" s="441"/>
      <c r="H59" s="431"/>
      <c r="I59" s="310"/>
      <c r="J59" s="432"/>
      <c r="K59" s="432"/>
      <c r="L59" s="476"/>
      <c r="M59" s="312"/>
      <c r="N59" s="312"/>
      <c r="O59" s="433"/>
      <c r="P59" s="433"/>
      <c r="Q59" s="434"/>
      <c r="R59" s="434"/>
      <c r="S59" s="434"/>
      <c r="T59" s="434"/>
      <c r="U59" s="434"/>
      <c r="V59" s="434"/>
      <c r="W59" s="435"/>
      <c r="X59" s="477"/>
      <c r="Y59" s="477"/>
      <c r="Z59" s="435"/>
      <c r="AA59" s="478"/>
      <c r="AB59" s="442" t="s">
        <v>239</v>
      </c>
      <c r="AC59" s="443"/>
      <c r="AD59" s="443"/>
      <c r="AE59" s="443"/>
      <c r="AF59" s="443"/>
      <c r="AG59" s="443"/>
      <c r="AH59" s="443"/>
      <c r="AI59" s="443"/>
      <c r="AJ59" s="443"/>
      <c r="AK59" s="443"/>
      <c r="AL59" s="443"/>
      <c r="AM59" s="443"/>
      <c r="AN59" s="443"/>
      <c r="AO59" s="443"/>
      <c r="AP59" s="443"/>
      <c r="AQ59" s="444">
        <f t="shared" si="13"/>
        <v>0</v>
      </c>
      <c r="AR59" s="445">
        <f t="shared" si="12"/>
        <v>0</v>
      </c>
      <c r="AW59" s="446"/>
      <c r="AX59" s="446"/>
      <c r="AY59" s="446"/>
      <c r="AZ59" s="446"/>
      <c r="BA59" s="446"/>
      <c r="BB59" s="446"/>
    </row>
    <row r="60" spans="1:54" s="6" customFormat="1" ht="14.25" customHeight="1">
      <c r="A60" s="381"/>
      <c r="B60" s="381"/>
      <c r="C60" s="381"/>
      <c r="D60" s="381"/>
      <c r="E60" s="381"/>
      <c r="F60" s="381"/>
      <c r="G60" s="441"/>
      <c r="H60" s="431"/>
      <c r="I60" s="310"/>
      <c r="J60" s="432"/>
      <c r="K60" s="432"/>
      <c r="L60" s="476"/>
      <c r="M60" s="312"/>
      <c r="N60" s="312"/>
      <c r="O60" s="433"/>
      <c r="P60" s="433"/>
      <c r="Q60" s="434"/>
      <c r="R60" s="434"/>
      <c r="S60" s="434"/>
      <c r="T60" s="434"/>
      <c r="U60" s="434"/>
      <c r="V60" s="434"/>
      <c r="W60" s="435"/>
      <c r="X60" s="477"/>
      <c r="Y60" s="477"/>
      <c r="Z60" s="435"/>
      <c r="AA60" s="478"/>
      <c r="AB60" s="442" t="s">
        <v>240</v>
      </c>
      <c r="AC60" s="443"/>
      <c r="AD60" s="443"/>
      <c r="AE60" s="443"/>
      <c r="AF60" s="443"/>
      <c r="AG60" s="443"/>
      <c r="AH60" s="443"/>
      <c r="AI60" s="443"/>
      <c r="AJ60" s="443"/>
      <c r="AK60" s="443"/>
      <c r="AL60" s="443"/>
      <c r="AM60" s="443"/>
      <c r="AN60" s="443"/>
      <c r="AO60" s="443"/>
      <c r="AP60" s="443"/>
      <c r="AQ60" s="444">
        <f t="shared" si="13"/>
        <v>0</v>
      </c>
      <c r="AR60" s="445">
        <f t="shared" si="12"/>
        <v>0</v>
      </c>
      <c r="AW60" s="446"/>
      <c r="AX60" s="446"/>
      <c r="AY60" s="446"/>
      <c r="AZ60" s="446"/>
      <c r="BA60" s="446"/>
      <c r="BB60" s="446"/>
    </row>
    <row r="61" spans="1:54" s="6" customFormat="1" ht="14.25" customHeight="1">
      <c r="A61" s="381"/>
      <c r="B61" s="381"/>
      <c r="C61" s="381"/>
      <c r="D61" s="381"/>
      <c r="E61" s="381"/>
      <c r="F61" s="381"/>
      <c r="G61" s="441"/>
      <c r="H61" s="431"/>
      <c r="I61" s="310"/>
      <c r="J61" s="432"/>
      <c r="K61" s="432"/>
      <c r="L61" s="476"/>
      <c r="M61" s="312"/>
      <c r="N61" s="312"/>
      <c r="O61" s="433"/>
      <c r="P61" s="433"/>
      <c r="Q61" s="434"/>
      <c r="R61" s="434"/>
      <c r="S61" s="434"/>
      <c r="T61" s="434"/>
      <c r="U61" s="434"/>
      <c r="V61" s="434"/>
      <c r="W61" s="435"/>
      <c r="X61" s="477"/>
      <c r="Y61" s="477"/>
      <c r="Z61" s="435"/>
      <c r="AA61" s="478"/>
      <c r="AB61" s="442" t="s">
        <v>241</v>
      </c>
      <c r="AC61" s="443"/>
      <c r="AD61" s="443"/>
      <c r="AE61" s="443"/>
      <c r="AF61" s="443"/>
      <c r="AG61" s="443"/>
      <c r="AH61" s="443"/>
      <c r="AI61" s="443"/>
      <c r="AJ61" s="443"/>
      <c r="AK61" s="443"/>
      <c r="AL61" s="443"/>
      <c r="AM61" s="443"/>
      <c r="AN61" s="443"/>
      <c r="AO61" s="443"/>
      <c r="AP61" s="443"/>
      <c r="AQ61" s="444">
        <f t="shared" si="13"/>
        <v>0</v>
      </c>
      <c r="AR61" s="445">
        <f t="shared" si="12"/>
        <v>0</v>
      </c>
      <c r="AW61" s="446"/>
      <c r="AX61" s="446"/>
      <c r="AY61" s="446"/>
      <c r="AZ61" s="446"/>
      <c r="BA61" s="446"/>
      <c r="BB61" s="446"/>
    </row>
    <row r="62" spans="1:54" s="6" customFormat="1" ht="14.25" customHeight="1">
      <c r="A62" s="381"/>
      <c r="B62" s="381"/>
      <c r="C62" s="381"/>
      <c r="D62" s="381"/>
      <c r="E62" s="381"/>
      <c r="F62" s="381"/>
      <c r="G62" s="441"/>
      <c r="H62" s="431"/>
      <c r="I62" s="310"/>
      <c r="J62" s="432"/>
      <c r="K62" s="432"/>
      <c r="L62" s="476"/>
      <c r="M62" s="312"/>
      <c r="N62" s="312"/>
      <c r="O62" s="433"/>
      <c r="P62" s="433"/>
      <c r="Q62" s="434"/>
      <c r="R62" s="434"/>
      <c r="S62" s="434"/>
      <c r="T62" s="434"/>
      <c r="U62" s="434"/>
      <c r="V62" s="434"/>
      <c r="W62" s="435"/>
      <c r="X62" s="477"/>
      <c r="Y62" s="477"/>
      <c r="Z62" s="435"/>
      <c r="AA62" s="478"/>
      <c r="AB62" s="447" t="s">
        <v>282</v>
      </c>
      <c r="AC62" s="448">
        <f aca="true" t="shared" si="14" ref="AC62:AR62">SUM(AC56:AC61)+IF(AC54=0,AC55,AC54)</f>
        <v>0</v>
      </c>
      <c r="AD62" s="448">
        <f t="shared" si="14"/>
        <v>0</v>
      </c>
      <c r="AE62" s="448">
        <f t="shared" si="14"/>
        <v>0</v>
      </c>
      <c r="AF62" s="448">
        <f t="shared" si="14"/>
        <v>0</v>
      </c>
      <c r="AG62" s="448">
        <f t="shared" si="14"/>
        <v>0</v>
      </c>
      <c r="AH62" s="448">
        <f t="shared" si="14"/>
        <v>0</v>
      </c>
      <c r="AI62" s="448">
        <f t="shared" si="14"/>
        <v>0</v>
      </c>
      <c r="AJ62" s="448">
        <f t="shared" si="14"/>
        <v>0</v>
      </c>
      <c r="AK62" s="448">
        <f t="shared" si="14"/>
        <v>0</v>
      </c>
      <c r="AL62" s="448">
        <f t="shared" si="14"/>
        <v>0</v>
      </c>
      <c r="AM62" s="448">
        <f t="shared" si="14"/>
        <v>0</v>
      </c>
      <c r="AN62" s="448">
        <f t="shared" si="14"/>
        <v>0</v>
      </c>
      <c r="AO62" s="448">
        <f t="shared" si="14"/>
        <v>0</v>
      </c>
      <c r="AP62" s="448">
        <f t="shared" si="14"/>
        <v>0</v>
      </c>
      <c r="AQ62" s="448">
        <f t="shared" si="14"/>
        <v>0</v>
      </c>
      <c r="AR62" s="449">
        <f t="shared" si="14"/>
        <v>0</v>
      </c>
      <c r="AW62" s="446"/>
      <c r="AX62" s="446"/>
      <c r="AY62" s="446"/>
      <c r="AZ62" s="446"/>
      <c r="BA62" s="446"/>
      <c r="BB62" s="446"/>
    </row>
    <row r="63" spans="1:54" s="6" customFormat="1" ht="37.5" customHeight="1" thickBot="1">
      <c r="A63" s="381"/>
      <c r="B63" s="381"/>
      <c r="C63" s="381"/>
      <c r="D63" s="381"/>
      <c r="E63" s="381"/>
      <c r="F63" s="381"/>
      <c r="G63" s="441"/>
      <c r="H63" s="451"/>
      <c r="I63" s="330"/>
      <c r="J63" s="452"/>
      <c r="K63" s="452"/>
      <c r="L63" s="479"/>
      <c r="M63" s="332"/>
      <c r="N63" s="332"/>
      <c r="O63" s="453"/>
      <c r="P63" s="453"/>
      <c r="Q63" s="454"/>
      <c r="R63" s="454"/>
      <c r="S63" s="454"/>
      <c r="T63" s="454"/>
      <c r="U63" s="454"/>
      <c r="V63" s="454"/>
      <c r="W63" s="455"/>
      <c r="X63" s="480"/>
      <c r="Y63" s="480"/>
      <c r="Z63" s="455"/>
      <c r="AA63" s="481"/>
      <c r="AB63" s="457" t="s">
        <v>283</v>
      </c>
      <c r="AC63" s="458"/>
      <c r="AD63" s="458"/>
      <c r="AE63" s="458"/>
      <c r="AF63" s="458"/>
      <c r="AG63" s="458"/>
      <c r="AH63" s="458"/>
      <c r="AI63" s="458"/>
      <c r="AJ63" s="458"/>
      <c r="AK63" s="458"/>
      <c r="AL63" s="458"/>
      <c r="AM63" s="458"/>
      <c r="AN63" s="458"/>
      <c r="AO63" s="458"/>
      <c r="AP63" s="458"/>
      <c r="AQ63" s="459">
        <f aca="true" t="shared" si="15" ref="AQ63:AR67">+AC63+AE63+AG63+AI63+AK63+AM63+AO63</f>
        <v>0</v>
      </c>
      <c r="AR63" s="460">
        <f t="shared" si="15"/>
        <v>0</v>
      </c>
      <c r="AW63" s="446"/>
      <c r="AX63" s="446"/>
      <c r="AY63" s="446"/>
      <c r="AZ63" s="446"/>
      <c r="BA63" s="446"/>
      <c r="BB63" s="446"/>
    </row>
    <row r="64" spans="1:54" s="6" customFormat="1" ht="22.5" customHeight="1">
      <c r="A64" s="381" t="s">
        <v>298</v>
      </c>
      <c r="B64" s="381" t="s">
        <v>299</v>
      </c>
      <c r="C64" s="381" t="s">
        <v>218</v>
      </c>
      <c r="D64" s="381" t="s">
        <v>219</v>
      </c>
      <c r="E64" s="381" t="s">
        <v>286</v>
      </c>
      <c r="F64" s="381" t="s">
        <v>220</v>
      </c>
      <c r="G64" s="441">
        <v>13</v>
      </c>
      <c r="H64" s="416">
        <v>886</v>
      </c>
      <c r="I64" s="294" t="s">
        <v>47</v>
      </c>
      <c r="J64" s="417"/>
      <c r="K64" s="418" t="s">
        <v>26</v>
      </c>
      <c r="L64" s="475"/>
      <c r="M64" s="297">
        <v>0</v>
      </c>
      <c r="N64" s="482" t="s">
        <v>300</v>
      </c>
      <c r="O64" s="483">
        <v>15</v>
      </c>
      <c r="P64" s="484">
        <v>15</v>
      </c>
      <c r="Q64" s="420">
        <f>SUMIF('Actividades inversión 886'!$B$13:$B$50,'Metas inversión 886'!$B64,'Actividades inversión 886'!M$13:M$50)</f>
        <v>3228600140</v>
      </c>
      <c r="R64" s="420">
        <f>SUMIF('Actividades inversión 886'!$B$13:$B$50,'Metas inversión 886'!$B64,'Actividades inversión 886'!N$13:N$50)</f>
        <v>2790160700</v>
      </c>
      <c r="S64" s="420">
        <f>SUMIF('Actividades inversión 886'!$B$13:$B$50,'Metas inversión 886'!$B64,'Actividades inversión 886'!O$13:O$50)</f>
        <v>2511891080</v>
      </c>
      <c r="T64" s="420">
        <f>SUMIF('Actividades inversión 886'!$B$13:$B$50,'Metas inversión 886'!$B64,'Actividades inversión 886'!P$13:P$50)</f>
        <v>482674800</v>
      </c>
      <c r="U64" s="420">
        <f>SUMIF('Actividades inversión 886'!$B$13:$B$50,'Metas inversión 886'!$B64,'Actividades inversión 886'!Q$13:Q$50)</f>
        <v>720915224</v>
      </c>
      <c r="V64" s="420">
        <f>SUMIF('Actividades inversión 886'!$B$13:$B$50,'Metas inversión 886'!$B64,'Actividades inversión 886'!R$13:R$50)</f>
        <v>611808442</v>
      </c>
      <c r="W64" s="421" t="s">
        <v>301</v>
      </c>
      <c r="X64" s="485" t="s">
        <v>302</v>
      </c>
      <c r="Y64" s="485" t="s">
        <v>303</v>
      </c>
      <c r="Z64" s="421"/>
      <c r="AA64" s="486"/>
      <c r="AB64" s="465" t="s">
        <v>280</v>
      </c>
      <c r="AC64" s="466"/>
      <c r="AD64" s="466"/>
      <c r="AE64" s="466"/>
      <c r="AF64" s="466"/>
      <c r="AG64" s="466"/>
      <c r="AH64" s="466"/>
      <c r="AI64" s="466"/>
      <c r="AJ64" s="466"/>
      <c r="AK64" s="466"/>
      <c r="AL64" s="466"/>
      <c r="AM64" s="466"/>
      <c r="AN64" s="466"/>
      <c r="AO64" s="466"/>
      <c r="AP64" s="466"/>
      <c r="AQ64" s="467">
        <f t="shared" si="15"/>
        <v>0</v>
      </c>
      <c r="AR64" s="468">
        <f t="shared" si="15"/>
        <v>0</v>
      </c>
      <c r="AW64" s="446">
        <f>+'[4]99-METROPOLITANO'!N62</f>
        <v>3228600140</v>
      </c>
      <c r="AX64" s="446">
        <f>+'[4]99-METROPOLITANO'!O62</f>
        <v>2790160700</v>
      </c>
      <c r="AY64" s="446">
        <f>+'[4]99-METROPOLITANO'!P62</f>
        <v>2511891080</v>
      </c>
      <c r="AZ64" s="446">
        <f>+'[4]99-METROPOLITANO'!Q62</f>
        <v>482674800</v>
      </c>
      <c r="BA64" s="446">
        <f>+'[4]99-METROPOLITANO'!R62</f>
        <v>720915224</v>
      </c>
      <c r="BB64" s="446">
        <f>+'[4]99-METROPOLITANO'!S62</f>
        <v>611808442</v>
      </c>
    </row>
    <row r="65" spans="1:54" s="6" customFormat="1" ht="51.75" customHeight="1">
      <c r="A65" s="381"/>
      <c r="B65" s="381"/>
      <c r="C65" s="381"/>
      <c r="D65" s="381"/>
      <c r="E65" s="381"/>
      <c r="F65" s="381"/>
      <c r="G65" s="441"/>
      <c r="H65" s="431"/>
      <c r="I65" s="310"/>
      <c r="J65" s="432"/>
      <c r="K65" s="432"/>
      <c r="L65" s="476"/>
      <c r="M65" s="312"/>
      <c r="N65" s="487" t="s">
        <v>304</v>
      </c>
      <c r="O65" s="488">
        <v>2</v>
      </c>
      <c r="P65" s="484">
        <v>2</v>
      </c>
      <c r="Q65" s="434"/>
      <c r="R65" s="434"/>
      <c r="S65" s="434"/>
      <c r="T65" s="434"/>
      <c r="U65" s="434"/>
      <c r="V65" s="434"/>
      <c r="W65" s="435"/>
      <c r="X65" s="489"/>
      <c r="Y65" s="490"/>
      <c r="Z65" s="435"/>
      <c r="AA65" s="491"/>
      <c r="AB65" s="450" t="s">
        <v>229</v>
      </c>
      <c r="AC65" s="443"/>
      <c r="AD65" s="443"/>
      <c r="AE65" s="443"/>
      <c r="AF65" s="443"/>
      <c r="AG65" s="443"/>
      <c r="AH65" s="443"/>
      <c r="AI65" s="443"/>
      <c r="AJ65" s="443"/>
      <c r="AK65" s="443"/>
      <c r="AL65" s="443"/>
      <c r="AM65" s="443"/>
      <c r="AN65" s="443"/>
      <c r="AO65" s="443"/>
      <c r="AP65" s="443"/>
      <c r="AQ65" s="444">
        <f t="shared" si="15"/>
        <v>0</v>
      </c>
      <c r="AR65" s="445">
        <f t="shared" si="15"/>
        <v>0</v>
      </c>
      <c r="AW65" s="446"/>
      <c r="AX65" s="446"/>
      <c r="AY65" s="446"/>
      <c r="AZ65" s="446"/>
      <c r="BA65" s="446"/>
      <c r="BB65" s="446"/>
    </row>
    <row r="66" spans="1:54" s="6" customFormat="1" ht="29.25" customHeight="1">
      <c r="A66" s="381"/>
      <c r="B66" s="381"/>
      <c r="C66" s="381"/>
      <c r="D66" s="381"/>
      <c r="E66" s="381"/>
      <c r="F66" s="381"/>
      <c r="G66" s="441"/>
      <c r="H66" s="431"/>
      <c r="I66" s="310"/>
      <c r="J66" s="432"/>
      <c r="K66" s="432"/>
      <c r="L66" s="476"/>
      <c r="M66" s="312"/>
      <c r="N66" s="487" t="s">
        <v>305</v>
      </c>
      <c r="O66" s="488">
        <v>16</v>
      </c>
      <c r="P66" s="484">
        <v>18</v>
      </c>
      <c r="Q66" s="434"/>
      <c r="R66" s="434"/>
      <c r="S66" s="434"/>
      <c r="T66" s="434"/>
      <c r="U66" s="434"/>
      <c r="V66" s="434"/>
      <c r="W66" s="435"/>
      <c r="X66" s="489"/>
      <c r="Y66" s="490"/>
      <c r="Z66" s="435"/>
      <c r="AA66" s="491"/>
      <c r="AB66" s="450" t="s">
        <v>230</v>
      </c>
      <c r="AC66" s="443"/>
      <c r="AD66" s="443"/>
      <c r="AE66" s="443"/>
      <c r="AF66" s="443"/>
      <c r="AG66" s="443"/>
      <c r="AH66" s="443"/>
      <c r="AI66" s="443"/>
      <c r="AJ66" s="443"/>
      <c r="AK66" s="443"/>
      <c r="AL66" s="443"/>
      <c r="AM66" s="443"/>
      <c r="AN66" s="443"/>
      <c r="AO66" s="443"/>
      <c r="AP66" s="443"/>
      <c r="AQ66" s="444">
        <f t="shared" si="15"/>
        <v>0</v>
      </c>
      <c r="AR66" s="445">
        <f t="shared" si="15"/>
        <v>0</v>
      </c>
      <c r="AW66" s="446"/>
      <c r="AX66" s="446"/>
      <c r="AY66" s="446"/>
      <c r="AZ66" s="446"/>
      <c r="BA66" s="446"/>
      <c r="BB66" s="446"/>
    </row>
    <row r="67" spans="1:54" s="6" customFormat="1" ht="14.25" customHeight="1">
      <c r="A67" s="381"/>
      <c r="B67" s="381"/>
      <c r="C67" s="381"/>
      <c r="D67" s="381"/>
      <c r="E67" s="381"/>
      <c r="F67" s="381"/>
      <c r="G67" s="441"/>
      <c r="H67" s="431"/>
      <c r="I67" s="310"/>
      <c r="J67" s="432"/>
      <c r="K67" s="432"/>
      <c r="L67" s="476"/>
      <c r="M67" s="312"/>
      <c r="N67" s="492" t="s">
        <v>306</v>
      </c>
      <c r="O67" s="493">
        <v>2</v>
      </c>
      <c r="P67" s="494">
        <v>0</v>
      </c>
      <c r="Q67" s="434"/>
      <c r="R67" s="434"/>
      <c r="S67" s="434"/>
      <c r="T67" s="434"/>
      <c r="U67" s="434"/>
      <c r="V67" s="434"/>
      <c r="W67" s="435"/>
      <c r="X67" s="489"/>
      <c r="Y67" s="490"/>
      <c r="Z67" s="435"/>
      <c r="AA67" s="491"/>
      <c r="AB67" s="450" t="s">
        <v>231</v>
      </c>
      <c r="AC67" s="443"/>
      <c r="AD67" s="443"/>
      <c r="AE67" s="443"/>
      <c r="AF67" s="443"/>
      <c r="AG67" s="443"/>
      <c r="AH67" s="443"/>
      <c r="AI67" s="443"/>
      <c r="AJ67" s="443"/>
      <c r="AK67" s="443"/>
      <c r="AL67" s="443"/>
      <c r="AM67" s="443"/>
      <c r="AN67" s="443"/>
      <c r="AO67" s="443"/>
      <c r="AP67" s="443"/>
      <c r="AQ67" s="444">
        <f t="shared" si="15"/>
        <v>0</v>
      </c>
      <c r="AR67" s="445">
        <f t="shared" si="15"/>
        <v>0</v>
      </c>
      <c r="AW67" s="446"/>
      <c r="AX67" s="446"/>
      <c r="AY67" s="446"/>
      <c r="AZ67" s="446"/>
      <c r="BA67" s="446"/>
      <c r="BB67" s="446"/>
    </row>
    <row r="68" spans="1:54" s="6" customFormat="1" ht="14.25" customHeight="1">
      <c r="A68" s="381"/>
      <c r="B68" s="381"/>
      <c r="C68" s="381"/>
      <c r="D68" s="381"/>
      <c r="E68" s="381"/>
      <c r="F68" s="381"/>
      <c r="G68" s="441"/>
      <c r="H68" s="431"/>
      <c r="I68" s="310"/>
      <c r="J68" s="432"/>
      <c r="K68" s="432"/>
      <c r="L68" s="476"/>
      <c r="M68" s="312"/>
      <c r="N68" s="492"/>
      <c r="O68" s="495"/>
      <c r="P68" s="496"/>
      <c r="Q68" s="434"/>
      <c r="R68" s="434"/>
      <c r="S68" s="434"/>
      <c r="T68" s="434"/>
      <c r="U68" s="434"/>
      <c r="V68" s="434"/>
      <c r="W68" s="435"/>
      <c r="X68" s="489"/>
      <c r="Y68" s="490"/>
      <c r="Z68" s="435"/>
      <c r="AA68" s="491"/>
      <c r="AB68" s="450"/>
      <c r="AC68" s="443"/>
      <c r="AD68" s="443"/>
      <c r="AE68" s="443"/>
      <c r="AF68" s="443"/>
      <c r="AG68" s="443"/>
      <c r="AH68" s="443"/>
      <c r="AI68" s="443"/>
      <c r="AJ68" s="443"/>
      <c r="AK68" s="443"/>
      <c r="AL68" s="443"/>
      <c r="AM68" s="443"/>
      <c r="AN68" s="443"/>
      <c r="AO68" s="443"/>
      <c r="AP68" s="443"/>
      <c r="AQ68" s="444"/>
      <c r="AR68" s="445"/>
      <c r="AW68" s="446"/>
      <c r="AX68" s="446"/>
      <c r="AY68" s="446"/>
      <c r="AZ68" s="446"/>
      <c r="BA68" s="446"/>
      <c r="BB68" s="446"/>
    </row>
    <row r="69" spans="1:54" s="6" customFormat="1" ht="15.75">
      <c r="A69" s="381"/>
      <c r="B69" s="381"/>
      <c r="C69" s="381"/>
      <c r="D69" s="381"/>
      <c r="E69" s="381"/>
      <c r="F69" s="381"/>
      <c r="G69" s="441"/>
      <c r="H69" s="431"/>
      <c r="I69" s="310"/>
      <c r="J69" s="432"/>
      <c r="K69" s="432"/>
      <c r="L69" s="476"/>
      <c r="M69" s="312"/>
      <c r="N69" s="492"/>
      <c r="O69" s="495"/>
      <c r="P69" s="496"/>
      <c r="Q69" s="434"/>
      <c r="R69" s="434"/>
      <c r="S69" s="434"/>
      <c r="T69" s="434"/>
      <c r="U69" s="434"/>
      <c r="V69" s="434"/>
      <c r="W69" s="435"/>
      <c r="X69" s="489"/>
      <c r="Y69" s="490"/>
      <c r="Z69" s="435"/>
      <c r="AA69" s="491"/>
      <c r="AB69" s="450"/>
      <c r="AC69" s="443"/>
      <c r="AD69" s="443"/>
      <c r="AE69" s="443"/>
      <c r="AF69" s="443"/>
      <c r="AG69" s="443"/>
      <c r="AH69" s="443"/>
      <c r="AI69" s="443"/>
      <c r="AJ69" s="443"/>
      <c r="AK69" s="443"/>
      <c r="AL69" s="443"/>
      <c r="AM69" s="443"/>
      <c r="AN69" s="443"/>
      <c r="AO69" s="443"/>
      <c r="AP69" s="443"/>
      <c r="AQ69" s="444"/>
      <c r="AR69" s="445"/>
      <c r="AW69" s="446"/>
      <c r="AX69" s="446"/>
      <c r="AY69" s="446"/>
      <c r="AZ69" s="446"/>
      <c r="BA69" s="446"/>
      <c r="BB69" s="446"/>
    </row>
    <row r="70" spans="1:54" s="6" customFormat="1" ht="28.5" customHeight="1">
      <c r="A70" s="381"/>
      <c r="B70" s="381"/>
      <c r="C70" s="381"/>
      <c r="D70" s="381"/>
      <c r="E70" s="381"/>
      <c r="F70" s="381"/>
      <c r="G70" s="441"/>
      <c r="H70" s="431"/>
      <c r="I70" s="310"/>
      <c r="J70" s="432"/>
      <c r="K70" s="432"/>
      <c r="L70" s="476"/>
      <c r="M70" s="312"/>
      <c r="N70" s="492"/>
      <c r="O70" s="495"/>
      <c r="P70" s="496"/>
      <c r="Q70" s="434"/>
      <c r="R70" s="434"/>
      <c r="S70" s="434"/>
      <c r="T70" s="434"/>
      <c r="U70" s="434"/>
      <c r="V70" s="434"/>
      <c r="W70" s="435"/>
      <c r="X70" s="489"/>
      <c r="Y70" s="490"/>
      <c r="Z70" s="435"/>
      <c r="AA70" s="491"/>
      <c r="AB70" s="450"/>
      <c r="AC70" s="443"/>
      <c r="AD70" s="443"/>
      <c r="AE70" s="443"/>
      <c r="AF70" s="443"/>
      <c r="AG70" s="443"/>
      <c r="AH70" s="443"/>
      <c r="AI70" s="443"/>
      <c r="AJ70" s="443"/>
      <c r="AK70" s="443"/>
      <c r="AL70" s="443"/>
      <c r="AM70" s="443"/>
      <c r="AN70" s="443"/>
      <c r="AO70" s="443"/>
      <c r="AP70" s="443"/>
      <c r="AQ70" s="444"/>
      <c r="AR70" s="445"/>
      <c r="AW70" s="446"/>
      <c r="AX70" s="446"/>
      <c r="AY70" s="446"/>
      <c r="AZ70" s="446"/>
      <c r="BA70" s="446"/>
      <c r="BB70" s="446"/>
    </row>
    <row r="71" spans="1:54" s="6" customFormat="1" ht="14.25" customHeight="1">
      <c r="A71" s="381"/>
      <c r="B71" s="381"/>
      <c r="C71" s="381"/>
      <c r="D71" s="381"/>
      <c r="E71" s="381"/>
      <c r="F71" s="381"/>
      <c r="G71" s="441"/>
      <c r="H71" s="431"/>
      <c r="I71" s="310"/>
      <c r="J71" s="432"/>
      <c r="K71" s="432"/>
      <c r="L71" s="476"/>
      <c r="M71" s="312"/>
      <c r="N71" s="492"/>
      <c r="O71" s="495"/>
      <c r="P71" s="496"/>
      <c r="Q71" s="434"/>
      <c r="R71" s="434"/>
      <c r="S71" s="434"/>
      <c r="T71" s="434"/>
      <c r="U71" s="434"/>
      <c r="V71" s="434"/>
      <c r="W71" s="435"/>
      <c r="X71" s="489"/>
      <c r="Y71" s="490"/>
      <c r="Z71" s="435"/>
      <c r="AA71" s="491"/>
      <c r="AB71" s="450"/>
      <c r="AC71" s="443"/>
      <c r="AD71" s="443"/>
      <c r="AE71" s="443"/>
      <c r="AF71" s="443"/>
      <c r="AG71" s="443"/>
      <c r="AH71" s="443"/>
      <c r="AI71" s="443"/>
      <c r="AJ71" s="443"/>
      <c r="AK71" s="443"/>
      <c r="AL71" s="443"/>
      <c r="AM71" s="443"/>
      <c r="AN71" s="443"/>
      <c r="AO71" s="443"/>
      <c r="AP71" s="443"/>
      <c r="AQ71" s="444"/>
      <c r="AR71" s="445"/>
      <c r="AW71" s="446"/>
      <c r="AX71" s="446"/>
      <c r="AY71" s="446"/>
      <c r="AZ71" s="446"/>
      <c r="BA71" s="446"/>
      <c r="BB71" s="446"/>
    </row>
    <row r="72" spans="1:54" s="6" customFormat="1" ht="14.25" customHeight="1">
      <c r="A72" s="381"/>
      <c r="B72" s="381"/>
      <c r="C72" s="381"/>
      <c r="D72" s="381"/>
      <c r="E72" s="381"/>
      <c r="F72" s="381"/>
      <c r="G72" s="441"/>
      <c r="H72" s="431"/>
      <c r="I72" s="310"/>
      <c r="J72" s="432"/>
      <c r="K72" s="432"/>
      <c r="L72" s="476"/>
      <c r="M72" s="312"/>
      <c r="N72" s="492"/>
      <c r="O72" s="495"/>
      <c r="P72" s="496"/>
      <c r="Q72" s="434"/>
      <c r="R72" s="434"/>
      <c r="S72" s="434"/>
      <c r="T72" s="434"/>
      <c r="U72" s="434"/>
      <c r="V72" s="434"/>
      <c r="W72" s="435"/>
      <c r="X72" s="489"/>
      <c r="Y72" s="490"/>
      <c r="Z72" s="435"/>
      <c r="AA72" s="491"/>
      <c r="AB72" s="450"/>
      <c r="AC72" s="443"/>
      <c r="AD72" s="443"/>
      <c r="AE72" s="443"/>
      <c r="AF72" s="443"/>
      <c r="AG72" s="443"/>
      <c r="AH72" s="443"/>
      <c r="AI72" s="443"/>
      <c r="AJ72" s="443"/>
      <c r="AK72" s="443"/>
      <c r="AL72" s="443"/>
      <c r="AM72" s="443"/>
      <c r="AN72" s="443"/>
      <c r="AO72" s="443"/>
      <c r="AP72" s="443"/>
      <c r="AQ72" s="444"/>
      <c r="AR72" s="445"/>
      <c r="AW72" s="446"/>
      <c r="AX72" s="446"/>
      <c r="AY72" s="446"/>
      <c r="AZ72" s="446"/>
      <c r="BA72" s="446"/>
      <c r="BB72" s="446"/>
    </row>
    <row r="73" spans="1:54" s="6" customFormat="1" ht="15.75">
      <c r="A73" s="381"/>
      <c r="B73" s="381"/>
      <c r="C73" s="381"/>
      <c r="D73" s="381"/>
      <c r="E73" s="381"/>
      <c r="F73" s="381"/>
      <c r="G73" s="441"/>
      <c r="H73" s="431"/>
      <c r="I73" s="310"/>
      <c r="J73" s="432"/>
      <c r="K73" s="432"/>
      <c r="L73" s="476"/>
      <c r="M73" s="312"/>
      <c r="N73" s="492"/>
      <c r="O73" s="495"/>
      <c r="P73" s="496"/>
      <c r="Q73" s="434"/>
      <c r="R73" s="434"/>
      <c r="S73" s="434"/>
      <c r="T73" s="434"/>
      <c r="U73" s="434"/>
      <c r="V73" s="434"/>
      <c r="W73" s="435"/>
      <c r="X73" s="489"/>
      <c r="Y73" s="490"/>
      <c r="Z73" s="435"/>
      <c r="AA73" s="491"/>
      <c r="AB73" s="450"/>
      <c r="AC73" s="443"/>
      <c r="AD73" s="443"/>
      <c r="AE73" s="443"/>
      <c r="AF73" s="443"/>
      <c r="AG73" s="443"/>
      <c r="AH73" s="443"/>
      <c r="AI73" s="443"/>
      <c r="AJ73" s="443"/>
      <c r="AK73" s="443"/>
      <c r="AL73" s="443"/>
      <c r="AM73" s="443"/>
      <c r="AN73" s="443"/>
      <c r="AO73" s="443"/>
      <c r="AP73" s="443"/>
      <c r="AQ73" s="444"/>
      <c r="AR73" s="445"/>
      <c r="AW73" s="446"/>
      <c r="AX73" s="446"/>
      <c r="AY73" s="446"/>
      <c r="AZ73" s="446"/>
      <c r="BA73" s="446"/>
      <c r="BB73" s="446"/>
    </row>
    <row r="74" spans="1:54" s="6" customFormat="1" ht="15.75">
      <c r="A74" s="381"/>
      <c r="B74" s="381"/>
      <c r="C74" s="381"/>
      <c r="D74" s="381"/>
      <c r="E74" s="381"/>
      <c r="F74" s="381"/>
      <c r="G74" s="441"/>
      <c r="H74" s="431"/>
      <c r="I74" s="310"/>
      <c r="J74" s="432"/>
      <c r="K74" s="432"/>
      <c r="L74" s="476"/>
      <c r="M74" s="312"/>
      <c r="N74" s="492"/>
      <c r="O74" s="495"/>
      <c r="P74" s="496"/>
      <c r="Q74" s="434"/>
      <c r="R74" s="434"/>
      <c r="S74" s="434"/>
      <c r="T74" s="434"/>
      <c r="U74" s="434"/>
      <c r="V74" s="434"/>
      <c r="W74" s="435"/>
      <c r="X74" s="489"/>
      <c r="Y74" s="490"/>
      <c r="Z74" s="435"/>
      <c r="AA74" s="491"/>
      <c r="AB74" s="450"/>
      <c r="AC74" s="443"/>
      <c r="AD74" s="443"/>
      <c r="AE74" s="443"/>
      <c r="AF74" s="443"/>
      <c r="AG74" s="443"/>
      <c r="AH74" s="443"/>
      <c r="AI74" s="443"/>
      <c r="AJ74" s="443"/>
      <c r="AK74" s="443"/>
      <c r="AL74" s="443"/>
      <c r="AM74" s="443"/>
      <c r="AN74" s="443"/>
      <c r="AO74" s="443"/>
      <c r="AP74" s="443"/>
      <c r="AQ74" s="444"/>
      <c r="AR74" s="445"/>
      <c r="AW74" s="446"/>
      <c r="AX74" s="446"/>
      <c r="AY74" s="446"/>
      <c r="AZ74" s="446"/>
      <c r="BA74" s="446"/>
      <c r="BB74" s="446"/>
    </row>
    <row r="75" spans="1:54" s="6" customFormat="1" ht="15.75">
      <c r="A75" s="381"/>
      <c r="B75" s="381"/>
      <c r="C75" s="381"/>
      <c r="D75" s="381"/>
      <c r="E75" s="381"/>
      <c r="F75" s="381"/>
      <c r="G75" s="441"/>
      <c r="H75" s="431"/>
      <c r="I75" s="310"/>
      <c r="J75" s="432"/>
      <c r="K75" s="432"/>
      <c r="L75" s="476"/>
      <c r="M75" s="312"/>
      <c r="N75" s="492"/>
      <c r="O75" s="495"/>
      <c r="P75" s="496"/>
      <c r="Q75" s="434"/>
      <c r="R75" s="434"/>
      <c r="S75" s="434"/>
      <c r="T75" s="434"/>
      <c r="U75" s="434"/>
      <c r="V75" s="434"/>
      <c r="W75" s="435"/>
      <c r="X75" s="489"/>
      <c r="Y75" s="490"/>
      <c r="Z75" s="435"/>
      <c r="AA75" s="491"/>
      <c r="AB75" s="450"/>
      <c r="AC75" s="443"/>
      <c r="AD75" s="443"/>
      <c r="AE75" s="443"/>
      <c r="AF75" s="443"/>
      <c r="AG75" s="443"/>
      <c r="AH75" s="443"/>
      <c r="AI75" s="443"/>
      <c r="AJ75" s="443"/>
      <c r="AK75" s="443"/>
      <c r="AL75" s="443"/>
      <c r="AM75" s="443"/>
      <c r="AN75" s="443"/>
      <c r="AO75" s="443"/>
      <c r="AP75" s="443"/>
      <c r="AQ75" s="444"/>
      <c r="AR75" s="445"/>
      <c r="AW75" s="446"/>
      <c r="AX75" s="446"/>
      <c r="AY75" s="446"/>
      <c r="AZ75" s="446"/>
      <c r="BA75" s="446"/>
      <c r="BB75" s="446"/>
    </row>
    <row r="76" spans="1:54" s="6" customFormat="1" ht="15.75">
      <c r="A76" s="381"/>
      <c r="B76" s="381"/>
      <c r="C76" s="381"/>
      <c r="D76" s="381"/>
      <c r="E76" s="381"/>
      <c r="F76" s="381"/>
      <c r="G76" s="441"/>
      <c r="H76" s="431"/>
      <c r="I76" s="310"/>
      <c r="J76" s="432"/>
      <c r="K76" s="432"/>
      <c r="L76" s="476"/>
      <c r="M76" s="312"/>
      <c r="N76" s="492"/>
      <c r="O76" s="495"/>
      <c r="P76" s="496"/>
      <c r="Q76" s="434"/>
      <c r="R76" s="434"/>
      <c r="S76" s="434"/>
      <c r="T76" s="434"/>
      <c r="U76" s="434"/>
      <c r="V76" s="434"/>
      <c r="W76" s="435"/>
      <c r="X76" s="489"/>
      <c r="Y76" s="490"/>
      <c r="Z76" s="435"/>
      <c r="AA76" s="491"/>
      <c r="AB76" s="450"/>
      <c r="AC76" s="443"/>
      <c r="AD76" s="443"/>
      <c r="AE76" s="443"/>
      <c r="AF76" s="443"/>
      <c r="AG76" s="443"/>
      <c r="AH76" s="443"/>
      <c r="AI76" s="443"/>
      <c r="AJ76" s="443"/>
      <c r="AK76" s="443"/>
      <c r="AL76" s="443"/>
      <c r="AM76" s="443"/>
      <c r="AN76" s="443"/>
      <c r="AO76" s="443"/>
      <c r="AP76" s="443"/>
      <c r="AQ76" s="444"/>
      <c r="AR76" s="445"/>
      <c r="AW76" s="446"/>
      <c r="AX76" s="446"/>
      <c r="AY76" s="446"/>
      <c r="AZ76" s="446"/>
      <c r="BA76" s="446"/>
      <c r="BB76" s="446"/>
    </row>
    <row r="77" spans="1:54" s="6" customFormat="1" ht="15.75">
      <c r="A77" s="381"/>
      <c r="B77" s="381"/>
      <c r="C77" s="381"/>
      <c r="D77" s="381"/>
      <c r="E77" s="381"/>
      <c r="F77" s="381"/>
      <c r="G77" s="441"/>
      <c r="H77" s="431"/>
      <c r="I77" s="310"/>
      <c r="J77" s="432"/>
      <c r="K77" s="432"/>
      <c r="L77" s="476"/>
      <c r="M77" s="312"/>
      <c r="N77" s="492"/>
      <c r="O77" s="495"/>
      <c r="P77" s="496"/>
      <c r="Q77" s="434"/>
      <c r="R77" s="434"/>
      <c r="S77" s="434"/>
      <c r="T77" s="434"/>
      <c r="U77" s="434"/>
      <c r="V77" s="434"/>
      <c r="W77" s="435"/>
      <c r="X77" s="489"/>
      <c r="Y77" s="490"/>
      <c r="Z77" s="435"/>
      <c r="AA77" s="491"/>
      <c r="AB77" s="450"/>
      <c r="AC77" s="443"/>
      <c r="AD77" s="443"/>
      <c r="AE77" s="443"/>
      <c r="AF77" s="443"/>
      <c r="AG77" s="443"/>
      <c r="AH77" s="443"/>
      <c r="AI77" s="443"/>
      <c r="AJ77" s="443"/>
      <c r="AK77" s="443"/>
      <c r="AL77" s="443"/>
      <c r="AM77" s="443"/>
      <c r="AN77" s="443"/>
      <c r="AO77" s="443"/>
      <c r="AP77" s="443"/>
      <c r="AQ77" s="444"/>
      <c r="AR77" s="445"/>
      <c r="AW77" s="446"/>
      <c r="AX77" s="446"/>
      <c r="AY77" s="446"/>
      <c r="AZ77" s="446"/>
      <c r="BA77" s="446"/>
      <c r="BB77" s="446"/>
    </row>
    <row r="78" spans="1:54" s="6" customFormat="1" ht="15.75">
      <c r="A78" s="381"/>
      <c r="B78" s="381"/>
      <c r="C78" s="381"/>
      <c r="D78" s="381"/>
      <c r="E78" s="381"/>
      <c r="F78" s="381"/>
      <c r="G78" s="441"/>
      <c r="H78" s="431"/>
      <c r="I78" s="310"/>
      <c r="J78" s="432"/>
      <c r="K78" s="432"/>
      <c r="L78" s="476"/>
      <c r="M78" s="312"/>
      <c r="N78" s="492"/>
      <c r="O78" s="495"/>
      <c r="P78" s="496"/>
      <c r="Q78" s="434"/>
      <c r="R78" s="434"/>
      <c r="S78" s="434"/>
      <c r="T78" s="434"/>
      <c r="U78" s="434"/>
      <c r="V78" s="434"/>
      <c r="W78" s="435"/>
      <c r="X78" s="489"/>
      <c r="Y78" s="490"/>
      <c r="Z78" s="435"/>
      <c r="AA78" s="491"/>
      <c r="AB78" s="450" t="s">
        <v>232</v>
      </c>
      <c r="AC78" s="443"/>
      <c r="AD78" s="443"/>
      <c r="AE78" s="443"/>
      <c r="AF78" s="443"/>
      <c r="AG78" s="443"/>
      <c r="AH78" s="443"/>
      <c r="AI78" s="443"/>
      <c r="AJ78" s="443"/>
      <c r="AK78" s="443"/>
      <c r="AL78" s="443"/>
      <c r="AM78" s="443"/>
      <c r="AN78" s="443"/>
      <c r="AO78" s="443"/>
      <c r="AP78" s="443"/>
      <c r="AQ78" s="444">
        <f>+AC78+AE78+AG78+AI78+AK78+AM78+AO78</f>
        <v>0</v>
      </c>
      <c r="AR78" s="445">
        <f>+AD78+AF78+AH78+AJ78+AL78+AN78+AP78</f>
        <v>0</v>
      </c>
      <c r="AW78" s="446"/>
      <c r="AX78" s="446"/>
      <c r="AY78" s="446"/>
      <c r="AZ78" s="446"/>
      <c r="BA78" s="446"/>
      <c r="BB78" s="446"/>
    </row>
    <row r="79" spans="1:54" s="6" customFormat="1" ht="16.5" thickBot="1">
      <c r="A79" s="381"/>
      <c r="B79" s="381"/>
      <c r="C79" s="381"/>
      <c r="D79" s="381"/>
      <c r="E79" s="381"/>
      <c r="F79" s="381"/>
      <c r="G79" s="441"/>
      <c r="H79" s="451"/>
      <c r="I79" s="330"/>
      <c r="J79" s="452"/>
      <c r="K79" s="452"/>
      <c r="L79" s="479"/>
      <c r="M79" s="332"/>
      <c r="N79" s="497"/>
      <c r="O79" s="498"/>
      <c r="P79" s="499"/>
      <c r="Q79" s="454"/>
      <c r="R79" s="454"/>
      <c r="S79" s="454"/>
      <c r="T79" s="454"/>
      <c r="U79" s="454"/>
      <c r="V79" s="454"/>
      <c r="W79" s="455"/>
      <c r="X79" s="500"/>
      <c r="Y79" s="501"/>
      <c r="Z79" s="455"/>
      <c r="AA79" s="502"/>
      <c r="AB79" s="457" t="s">
        <v>283</v>
      </c>
      <c r="AC79" s="458"/>
      <c r="AD79" s="458"/>
      <c r="AE79" s="458"/>
      <c r="AF79" s="458"/>
      <c r="AG79" s="458"/>
      <c r="AH79" s="458"/>
      <c r="AI79" s="458"/>
      <c r="AJ79" s="458"/>
      <c r="AK79" s="458"/>
      <c r="AL79" s="458"/>
      <c r="AM79" s="458"/>
      <c r="AN79" s="458"/>
      <c r="AO79" s="458"/>
      <c r="AP79" s="458"/>
      <c r="AQ79" s="459">
        <f aca="true" t="shared" si="16" ref="AQ79:AR85">+AC79+AE79+AG79+AI79+AK79+AM79+AO79</f>
        <v>0</v>
      </c>
      <c r="AR79" s="460">
        <f t="shared" si="16"/>
        <v>0</v>
      </c>
      <c r="AW79" s="446"/>
      <c r="AX79" s="446"/>
      <c r="AY79" s="446"/>
      <c r="AZ79" s="446"/>
      <c r="BA79" s="446"/>
      <c r="BB79" s="446"/>
    </row>
    <row r="80" spans="1:54" s="6" customFormat="1" ht="14.25" customHeight="1" hidden="1">
      <c r="A80" s="381" t="s">
        <v>307</v>
      </c>
      <c r="B80" s="381" t="s">
        <v>308</v>
      </c>
      <c r="C80" s="381" t="s">
        <v>218</v>
      </c>
      <c r="D80" s="381" t="s">
        <v>219</v>
      </c>
      <c r="E80" s="381" t="s">
        <v>286</v>
      </c>
      <c r="F80" s="381" t="s">
        <v>286</v>
      </c>
      <c r="G80" s="441">
        <v>14</v>
      </c>
      <c r="H80" s="416">
        <v>886</v>
      </c>
      <c r="I80" s="297" t="s">
        <v>309</v>
      </c>
      <c r="J80" s="417"/>
      <c r="K80" s="418" t="s">
        <v>26</v>
      </c>
      <c r="L80" s="475"/>
      <c r="M80" s="297"/>
      <c r="N80" s="297" t="s">
        <v>310</v>
      </c>
      <c r="O80" s="503">
        <v>0.27</v>
      </c>
      <c r="P80" s="504">
        <v>0.27</v>
      </c>
      <c r="Q80" s="420">
        <f>SUMIF('Actividades inversión 886'!$B$13:$B$50,'Metas inversión 886'!$B80,'Actividades inversión 886'!M$13:M$50)</f>
        <v>0</v>
      </c>
      <c r="R80" s="420">
        <f>SUMIF('Actividades inversión 886'!$B$13:$B$50,'Metas inversión 886'!$B80,'Actividades inversión 886'!N$13:N$50)</f>
        <v>0</v>
      </c>
      <c r="S80" s="420">
        <f>SUMIF('Actividades inversión 886'!$B$13:$B$50,'Metas inversión 886'!$B80,'Actividades inversión 886'!O$13:O$50)</f>
        <v>0</v>
      </c>
      <c r="T80" s="420">
        <f>SUMIF('Actividades inversión 886'!$B$13:$B$50,'Metas inversión 886'!$B80,'Actividades inversión 886'!P$13:P$50)</f>
        <v>0</v>
      </c>
      <c r="U80" s="420">
        <f>SUMIF('Actividades inversión 886'!$B$13:$B$50,'Metas inversión 886'!$B80,'Actividades inversión 886'!Q$13:Q$50)</f>
        <v>3555200</v>
      </c>
      <c r="V80" s="420">
        <f>SUMIF('Actividades inversión 886'!$B$13:$B$50,'Metas inversión 886'!$B80,'Actividades inversión 886'!R$13:R$50)</f>
        <v>3555200</v>
      </c>
      <c r="W80" s="505"/>
      <c r="X80" s="505"/>
      <c r="Y80" s="505"/>
      <c r="Z80" s="421"/>
      <c r="AA80" s="421" t="s">
        <v>311</v>
      </c>
      <c r="AB80" s="465" t="s">
        <v>280</v>
      </c>
      <c r="AC80" s="466"/>
      <c r="AD80" s="466"/>
      <c r="AE80" s="466"/>
      <c r="AF80" s="466"/>
      <c r="AG80" s="466"/>
      <c r="AH80" s="466"/>
      <c r="AI80" s="466"/>
      <c r="AJ80" s="466"/>
      <c r="AK80" s="466"/>
      <c r="AL80" s="466"/>
      <c r="AM80" s="466"/>
      <c r="AN80" s="466"/>
      <c r="AO80" s="466"/>
      <c r="AP80" s="466"/>
      <c r="AQ80" s="467">
        <f t="shared" si="16"/>
        <v>0</v>
      </c>
      <c r="AR80" s="468">
        <f t="shared" si="16"/>
        <v>0</v>
      </c>
      <c r="AW80" s="446">
        <f>+'[4]99-METROPOLITANO'!N78</f>
        <v>0</v>
      </c>
      <c r="AX80" s="446">
        <f>+'[4]99-METROPOLITANO'!O78</f>
        <v>0</v>
      </c>
      <c r="AY80" s="446">
        <f>+'[4]99-METROPOLITANO'!P78</f>
        <v>0</v>
      </c>
      <c r="AZ80" s="446">
        <f>+'[4]99-METROPOLITANO'!Q78</f>
        <v>0</v>
      </c>
      <c r="BA80" s="446">
        <f>+'[4]99-METROPOLITANO'!R78</f>
        <v>3555200</v>
      </c>
      <c r="BB80" s="446">
        <f>+'[4]99-METROPOLITANO'!S78</f>
        <v>3555200</v>
      </c>
    </row>
    <row r="81" spans="1:54" s="6" customFormat="1" ht="14.25" customHeight="1" hidden="1">
      <c r="A81" s="381"/>
      <c r="B81" s="381"/>
      <c r="C81" s="381"/>
      <c r="D81" s="381"/>
      <c r="E81" s="381"/>
      <c r="F81" s="381"/>
      <c r="G81" s="441"/>
      <c r="H81" s="431"/>
      <c r="I81" s="312"/>
      <c r="J81" s="432"/>
      <c r="K81" s="432"/>
      <c r="L81" s="476"/>
      <c r="M81" s="312"/>
      <c r="N81" s="312"/>
      <c r="O81" s="506"/>
      <c r="P81" s="507"/>
      <c r="Q81" s="434"/>
      <c r="R81" s="434"/>
      <c r="S81" s="434"/>
      <c r="T81" s="434"/>
      <c r="U81" s="434"/>
      <c r="V81" s="434"/>
      <c r="W81" s="508"/>
      <c r="X81" s="508"/>
      <c r="Y81" s="508"/>
      <c r="Z81" s="478"/>
      <c r="AA81" s="478"/>
      <c r="AB81" s="450" t="s">
        <v>229</v>
      </c>
      <c r="AC81" s="443"/>
      <c r="AD81" s="443"/>
      <c r="AE81" s="443"/>
      <c r="AF81" s="443"/>
      <c r="AG81" s="443"/>
      <c r="AH81" s="443"/>
      <c r="AI81" s="443"/>
      <c r="AJ81" s="443"/>
      <c r="AK81" s="443"/>
      <c r="AL81" s="443"/>
      <c r="AM81" s="443"/>
      <c r="AN81" s="443"/>
      <c r="AO81" s="443"/>
      <c r="AP81" s="443"/>
      <c r="AQ81" s="444">
        <f t="shared" si="16"/>
        <v>0</v>
      </c>
      <c r="AR81" s="445">
        <f t="shared" si="16"/>
        <v>0</v>
      </c>
      <c r="AW81" s="446"/>
      <c r="AX81" s="446"/>
      <c r="AY81" s="446"/>
      <c r="AZ81" s="446"/>
      <c r="BA81" s="446"/>
      <c r="BB81" s="446"/>
    </row>
    <row r="82" spans="1:54" s="6" customFormat="1" ht="14.25" customHeight="1" hidden="1">
      <c r="A82" s="381"/>
      <c r="B82" s="381"/>
      <c r="C82" s="381"/>
      <c r="D82" s="381"/>
      <c r="E82" s="381"/>
      <c r="F82" s="381"/>
      <c r="G82" s="441"/>
      <c r="H82" s="431"/>
      <c r="I82" s="312"/>
      <c r="J82" s="432"/>
      <c r="K82" s="432"/>
      <c r="L82" s="476"/>
      <c r="M82" s="312"/>
      <c r="N82" s="312"/>
      <c r="O82" s="506"/>
      <c r="P82" s="507"/>
      <c r="Q82" s="434"/>
      <c r="R82" s="434"/>
      <c r="S82" s="434"/>
      <c r="T82" s="434"/>
      <c r="U82" s="434"/>
      <c r="V82" s="434"/>
      <c r="W82" s="508"/>
      <c r="X82" s="508"/>
      <c r="Y82" s="508"/>
      <c r="Z82" s="478"/>
      <c r="AA82" s="478"/>
      <c r="AB82" s="450" t="s">
        <v>230</v>
      </c>
      <c r="AC82" s="443"/>
      <c r="AD82" s="443"/>
      <c r="AE82" s="443"/>
      <c r="AF82" s="443"/>
      <c r="AG82" s="443"/>
      <c r="AH82" s="443"/>
      <c r="AI82" s="443"/>
      <c r="AJ82" s="443"/>
      <c r="AK82" s="443"/>
      <c r="AL82" s="443"/>
      <c r="AM82" s="443"/>
      <c r="AN82" s="443"/>
      <c r="AO82" s="443"/>
      <c r="AP82" s="443"/>
      <c r="AQ82" s="444">
        <f t="shared" si="16"/>
        <v>0</v>
      </c>
      <c r="AR82" s="445">
        <f t="shared" si="16"/>
        <v>0</v>
      </c>
      <c r="AW82" s="446"/>
      <c r="AX82" s="446"/>
      <c r="AY82" s="446"/>
      <c r="AZ82" s="446"/>
      <c r="BA82" s="446"/>
      <c r="BB82" s="446"/>
    </row>
    <row r="83" spans="1:54" s="6" customFormat="1" ht="14.25" customHeight="1" hidden="1">
      <c r="A83" s="381"/>
      <c r="B83" s="381"/>
      <c r="C83" s="381"/>
      <c r="D83" s="381"/>
      <c r="E83" s="381"/>
      <c r="F83" s="381"/>
      <c r="G83" s="441"/>
      <c r="H83" s="431"/>
      <c r="I83" s="312"/>
      <c r="J83" s="432"/>
      <c r="K83" s="432"/>
      <c r="L83" s="476"/>
      <c r="M83" s="312"/>
      <c r="N83" s="312"/>
      <c r="O83" s="506"/>
      <c r="P83" s="507"/>
      <c r="Q83" s="434"/>
      <c r="R83" s="434"/>
      <c r="S83" s="434"/>
      <c r="T83" s="434"/>
      <c r="U83" s="434"/>
      <c r="V83" s="434"/>
      <c r="W83" s="508"/>
      <c r="X83" s="508"/>
      <c r="Y83" s="508"/>
      <c r="Z83" s="478"/>
      <c r="AA83" s="478"/>
      <c r="AB83" s="450" t="s">
        <v>231</v>
      </c>
      <c r="AC83" s="443"/>
      <c r="AD83" s="443"/>
      <c r="AE83" s="443"/>
      <c r="AF83" s="443"/>
      <c r="AG83" s="443"/>
      <c r="AH83" s="443"/>
      <c r="AI83" s="443"/>
      <c r="AJ83" s="443"/>
      <c r="AK83" s="443"/>
      <c r="AL83" s="443"/>
      <c r="AM83" s="443"/>
      <c r="AN83" s="443"/>
      <c r="AO83" s="443"/>
      <c r="AP83" s="443"/>
      <c r="AQ83" s="444">
        <f t="shared" si="16"/>
        <v>0</v>
      </c>
      <c r="AR83" s="445">
        <f t="shared" si="16"/>
        <v>0</v>
      </c>
      <c r="AW83" s="446"/>
      <c r="AX83" s="446"/>
      <c r="AY83" s="446"/>
      <c r="AZ83" s="446"/>
      <c r="BA83" s="446"/>
      <c r="BB83" s="446"/>
    </row>
    <row r="84" spans="1:54" s="6" customFormat="1" ht="0.75" customHeight="1" hidden="1" thickBot="1">
      <c r="A84" s="381"/>
      <c r="B84" s="381"/>
      <c r="C84" s="381"/>
      <c r="D84" s="381"/>
      <c r="E84" s="381"/>
      <c r="F84" s="381"/>
      <c r="G84" s="441"/>
      <c r="H84" s="431"/>
      <c r="I84" s="312"/>
      <c r="J84" s="432"/>
      <c r="K84" s="432"/>
      <c r="L84" s="476"/>
      <c r="M84" s="312"/>
      <c r="N84" s="312"/>
      <c r="O84" s="506"/>
      <c r="P84" s="507"/>
      <c r="Q84" s="434"/>
      <c r="R84" s="434"/>
      <c r="S84" s="434"/>
      <c r="T84" s="434"/>
      <c r="U84" s="434"/>
      <c r="V84" s="434"/>
      <c r="W84" s="508"/>
      <c r="X84" s="508"/>
      <c r="Y84" s="508"/>
      <c r="Z84" s="478"/>
      <c r="AA84" s="421" t="s">
        <v>311</v>
      </c>
      <c r="AB84" s="450" t="s">
        <v>232</v>
      </c>
      <c r="AC84" s="443"/>
      <c r="AD84" s="443"/>
      <c r="AE84" s="443"/>
      <c r="AF84" s="443"/>
      <c r="AG84" s="443"/>
      <c r="AH84" s="443"/>
      <c r="AI84" s="443"/>
      <c r="AJ84" s="443"/>
      <c r="AK84" s="443"/>
      <c r="AL84" s="443"/>
      <c r="AM84" s="443"/>
      <c r="AN84" s="443"/>
      <c r="AO84" s="443"/>
      <c r="AP84" s="443"/>
      <c r="AQ84" s="444">
        <f t="shared" si="16"/>
        <v>0</v>
      </c>
      <c r="AR84" s="445">
        <f t="shared" si="16"/>
        <v>0</v>
      </c>
      <c r="AW84" s="446"/>
      <c r="AX84" s="446"/>
      <c r="AY84" s="446"/>
      <c r="AZ84" s="446"/>
      <c r="BA84" s="446"/>
      <c r="BB84" s="446"/>
    </row>
    <row r="85" spans="1:54" s="6" customFormat="1" ht="14.25" customHeight="1" hidden="1" thickBot="1">
      <c r="A85" s="381"/>
      <c r="B85" s="381"/>
      <c r="C85" s="381"/>
      <c r="D85" s="381"/>
      <c r="E85" s="381"/>
      <c r="F85" s="381"/>
      <c r="G85" s="441"/>
      <c r="H85" s="431"/>
      <c r="I85" s="312"/>
      <c r="J85" s="432"/>
      <c r="K85" s="432"/>
      <c r="L85" s="476"/>
      <c r="M85" s="312"/>
      <c r="N85" s="312"/>
      <c r="O85" s="506"/>
      <c r="P85" s="507"/>
      <c r="Q85" s="434"/>
      <c r="R85" s="434"/>
      <c r="S85" s="434"/>
      <c r="T85" s="434"/>
      <c r="U85" s="434"/>
      <c r="V85" s="434"/>
      <c r="W85" s="508"/>
      <c r="X85" s="508"/>
      <c r="Y85" s="508"/>
      <c r="Z85" s="478"/>
      <c r="AA85" s="478"/>
      <c r="AB85" s="442" t="s">
        <v>233</v>
      </c>
      <c r="AC85" s="443"/>
      <c r="AD85" s="443"/>
      <c r="AE85" s="443"/>
      <c r="AF85" s="443"/>
      <c r="AG85" s="443"/>
      <c r="AH85" s="443"/>
      <c r="AI85" s="443"/>
      <c r="AJ85" s="443"/>
      <c r="AK85" s="443"/>
      <c r="AL85" s="443"/>
      <c r="AM85" s="443"/>
      <c r="AN85" s="443"/>
      <c r="AO85" s="443"/>
      <c r="AP85" s="443"/>
      <c r="AQ85" s="444">
        <f t="shared" si="16"/>
        <v>0</v>
      </c>
      <c r="AR85" s="445">
        <f t="shared" si="16"/>
        <v>0</v>
      </c>
      <c r="AW85" s="446"/>
      <c r="AX85" s="446"/>
      <c r="AY85" s="446"/>
      <c r="AZ85" s="446"/>
      <c r="BA85" s="446"/>
      <c r="BB85" s="446"/>
    </row>
    <row r="86" spans="1:54" s="6" customFormat="1" ht="3" customHeight="1" hidden="1" thickBot="1">
      <c r="A86" s="381"/>
      <c r="B86" s="381"/>
      <c r="C86" s="381"/>
      <c r="D86" s="381"/>
      <c r="E86" s="381"/>
      <c r="F86" s="381"/>
      <c r="G86" s="441"/>
      <c r="H86" s="431"/>
      <c r="I86" s="312"/>
      <c r="J86" s="432"/>
      <c r="K86" s="432"/>
      <c r="L86" s="476"/>
      <c r="M86" s="312"/>
      <c r="N86" s="312"/>
      <c r="O86" s="506"/>
      <c r="P86" s="507"/>
      <c r="Q86" s="434"/>
      <c r="R86" s="434"/>
      <c r="S86" s="434"/>
      <c r="T86" s="434"/>
      <c r="U86" s="434"/>
      <c r="V86" s="434"/>
      <c r="W86" s="508"/>
      <c r="X86" s="508"/>
      <c r="Y86" s="508"/>
      <c r="Z86" s="478"/>
      <c r="AA86" s="478"/>
      <c r="AB86" s="447" t="s">
        <v>234</v>
      </c>
      <c r="AC86" s="448">
        <f aca="true" t="shared" si="17" ref="AC86:AR86">SUM(AC80:AC85)</f>
        <v>0</v>
      </c>
      <c r="AD86" s="448">
        <f t="shared" si="17"/>
        <v>0</v>
      </c>
      <c r="AE86" s="448">
        <f t="shared" si="17"/>
        <v>0</v>
      </c>
      <c r="AF86" s="448">
        <f t="shared" si="17"/>
        <v>0</v>
      </c>
      <c r="AG86" s="448">
        <f t="shared" si="17"/>
        <v>0</v>
      </c>
      <c r="AH86" s="448">
        <f t="shared" si="17"/>
        <v>0</v>
      </c>
      <c r="AI86" s="448">
        <f t="shared" si="17"/>
        <v>0</v>
      </c>
      <c r="AJ86" s="448">
        <f t="shared" si="17"/>
        <v>0</v>
      </c>
      <c r="AK86" s="448">
        <f t="shared" si="17"/>
        <v>0</v>
      </c>
      <c r="AL86" s="448">
        <f t="shared" si="17"/>
        <v>0</v>
      </c>
      <c r="AM86" s="448">
        <f t="shared" si="17"/>
        <v>0</v>
      </c>
      <c r="AN86" s="448">
        <f t="shared" si="17"/>
        <v>0</v>
      </c>
      <c r="AO86" s="448">
        <f t="shared" si="17"/>
        <v>0</v>
      </c>
      <c r="AP86" s="448">
        <f t="shared" si="17"/>
        <v>0</v>
      </c>
      <c r="AQ86" s="448">
        <f t="shared" si="17"/>
        <v>0</v>
      </c>
      <c r="AR86" s="449">
        <f t="shared" si="17"/>
        <v>0</v>
      </c>
      <c r="AW86" s="446"/>
      <c r="AX86" s="446"/>
      <c r="AY86" s="446"/>
      <c r="AZ86" s="446"/>
      <c r="BA86" s="446"/>
      <c r="BB86" s="446"/>
    </row>
    <row r="87" spans="1:54" s="6" customFormat="1" ht="14.25" customHeight="1" hidden="1" thickBot="1">
      <c r="A87" s="381"/>
      <c r="B87" s="381"/>
      <c r="C87" s="381"/>
      <c r="D87" s="381"/>
      <c r="E87" s="381"/>
      <c r="F87" s="381"/>
      <c r="G87" s="441"/>
      <c r="H87" s="431"/>
      <c r="I87" s="312"/>
      <c r="J87" s="432"/>
      <c r="K87" s="432"/>
      <c r="L87" s="476"/>
      <c r="M87" s="312"/>
      <c r="N87" s="312"/>
      <c r="O87" s="506"/>
      <c r="P87" s="507"/>
      <c r="Q87" s="434"/>
      <c r="R87" s="434"/>
      <c r="S87" s="434"/>
      <c r="T87" s="434"/>
      <c r="U87" s="434"/>
      <c r="V87" s="434"/>
      <c r="W87" s="508"/>
      <c r="X87" s="508"/>
      <c r="Y87" s="508"/>
      <c r="Z87" s="478"/>
      <c r="AA87" s="478"/>
      <c r="AB87" s="450" t="s">
        <v>235</v>
      </c>
      <c r="AC87" s="443"/>
      <c r="AD87" s="443"/>
      <c r="AE87" s="443"/>
      <c r="AF87" s="443"/>
      <c r="AG87" s="443"/>
      <c r="AH87" s="443"/>
      <c r="AI87" s="443"/>
      <c r="AJ87" s="443"/>
      <c r="AK87" s="443"/>
      <c r="AL87" s="443"/>
      <c r="AM87" s="443"/>
      <c r="AN87" s="443"/>
      <c r="AO87" s="443"/>
      <c r="AP87" s="443"/>
      <c r="AQ87" s="444">
        <f>+AC87+AE87+AG87+AI87+AK87+AM87+AO87</f>
        <v>0</v>
      </c>
      <c r="AR87" s="445">
        <f aca="true" t="shared" si="18" ref="AR87:AR93">+AD87+AF87+AH87+AJ87+AL87+AN87+AP87</f>
        <v>0</v>
      </c>
      <c r="AW87" s="446"/>
      <c r="AX87" s="446"/>
      <c r="AY87" s="446"/>
      <c r="AZ87" s="446"/>
      <c r="BA87" s="446"/>
      <c r="BB87" s="446"/>
    </row>
    <row r="88" spans="1:54" s="6" customFormat="1" ht="12" customHeight="1" hidden="1" thickBot="1">
      <c r="A88" s="381"/>
      <c r="B88" s="381"/>
      <c r="C88" s="381"/>
      <c r="D88" s="381"/>
      <c r="E88" s="381"/>
      <c r="F88" s="381"/>
      <c r="G88" s="441"/>
      <c r="H88" s="431"/>
      <c r="I88" s="312"/>
      <c r="J88" s="432"/>
      <c r="K88" s="432"/>
      <c r="L88" s="476"/>
      <c r="M88" s="312"/>
      <c r="N88" s="312"/>
      <c r="O88" s="506"/>
      <c r="P88" s="507"/>
      <c r="Q88" s="434"/>
      <c r="R88" s="434"/>
      <c r="S88" s="434"/>
      <c r="T88" s="434"/>
      <c r="U88" s="434"/>
      <c r="V88" s="434"/>
      <c r="W88" s="508"/>
      <c r="X88" s="508"/>
      <c r="Y88" s="508"/>
      <c r="Z88" s="478"/>
      <c r="AA88" s="421" t="s">
        <v>311</v>
      </c>
      <c r="AB88" s="450" t="s">
        <v>281</v>
      </c>
      <c r="AC88" s="443"/>
      <c r="AD88" s="443"/>
      <c r="AE88" s="443"/>
      <c r="AF88" s="443"/>
      <c r="AG88" s="443"/>
      <c r="AH88" s="443"/>
      <c r="AI88" s="443"/>
      <c r="AJ88" s="443"/>
      <c r="AK88" s="443"/>
      <c r="AL88" s="443"/>
      <c r="AM88" s="443"/>
      <c r="AN88" s="443"/>
      <c r="AO88" s="443"/>
      <c r="AP88" s="443"/>
      <c r="AQ88" s="444">
        <f aca="true" t="shared" si="19" ref="AQ88:AQ93">+AC88+AE88+AG88+AI88+AK88+AM88+AO88</f>
        <v>0</v>
      </c>
      <c r="AR88" s="445">
        <f t="shared" si="18"/>
        <v>0</v>
      </c>
      <c r="AW88" s="446"/>
      <c r="AX88" s="446"/>
      <c r="AY88" s="446"/>
      <c r="AZ88" s="446"/>
      <c r="BA88" s="446"/>
      <c r="BB88" s="446"/>
    </row>
    <row r="89" spans="1:54" s="6" customFormat="1" ht="14.25" customHeight="1" hidden="1" thickBot="1">
      <c r="A89" s="381"/>
      <c r="B89" s="381"/>
      <c r="C89" s="381"/>
      <c r="D89" s="381"/>
      <c r="E89" s="381"/>
      <c r="F89" s="381"/>
      <c r="G89" s="441"/>
      <c r="H89" s="431"/>
      <c r="I89" s="312"/>
      <c r="J89" s="432"/>
      <c r="K89" s="432"/>
      <c r="L89" s="476"/>
      <c r="M89" s="312"/>
      <c r="N89" s="312"/>
      <c r="O89" s="506"/>
      <c r="P89" s="507"/>
      <c r="Q89" s="434"/>
      <c r="R89" s="434"/>
      <c r="S89" s="434"/>
      <c r="T89" s="434"/>
      <c r="U89" s="434"/>
      <c r="V89" s="434"/>
      <c r="W89" s="508"/>
      <c r="X89" s="508"/>
      <c r="Y89" s="508"/>
      <c r="Z89" s="478"/>
      <c r="AA89" s="478"/>
      <c r="AB89" s="442" t="s">
        <v>237</v>
      </c>
      <c r="AC89" s="443"/>
      <c r="AD89" s="443"/>
      <c r="AE89" s="443"/>
      <c r="AF89" s="443"/>
      <c r="AG89" s="443"/>
      <c r="AH89" s="443"/>
      <c r="AI89" s="443"/>
      <c r="AJ89" s="443"/>
      <c r="AK89" s="443"/>
      <c r="AL89" s="443"/>
      <c r="AM89" s="443"/>
      <c r="AN89" s="443"/>
      <c r="AO89" s="443"/>
      <c r="AP89" s="443"/>
      <c r="AQ89" s="444">
        <f t="shared" si="19"/>
        <v>0</v>
      </c>
      <c r="AR89" s="445">
        <f t="shared" si="18"/>
        <v>0</v>
      </c>
      <c r="AW89" s="446"/>
      <c r="AX89" s="446"/>
      <c r="AY89" s="446"/>
      <c r="AZ89" s="446"/>
      <c r="BA89" s="446"/>
      <c r="BB89" s="446"/>
    </row>
    <row r="90" spans="1:54" s="6" customFormat="1" ht="14.25" customHeight="1" hidden="1" thickBot="1">
      <c r="A90" s="381"/>
      <c r="B90" s="381"/>
      <c r="C90" s="381"/>
      <c r="D90" s="381"/>
      <c r="E90" s="381"/>
      <c r="F90" s="381"/>
      <c r="G90" s="441"/>
      <c r="H90" s="431"/>
      <c r="I90" s="312"/>
      <c r="J90" s="432"/>
      <c r="K90" s="432"/>
      <c r="L90" s="476"/>
      <c r="M90" s="312"/>
      <c r="N90" s="312"/>
      <c r="O90" s="506"/>
      <c r="P90" s="507"/>
      <c r="Q90" s="434"/>
      <c r="R90" s="434"/>
      <c r="S90" s="434"/>
      <c r="T90" s="434"/>
      <c r="U90" s="434"/>
      <c r="V90" s="434"/>
      <c r="W90" s="508"/>
      <c r="X90" s="508"/>
      <c r="Y90" s="508"/>
      <c r="Z90" s="478"/>
      <c r="AA90" s="478"/>
      <c r="AB90" s="442" t="s">
        <v>238</v>
      </c>
      <c r="AC90" s="443"/>
      <c r="AD90" s="443"/>
      <c r="AE90" s="443"/>
      <c r="AF90" s="443"/>
      <c r="AG90" s="443"/>
      <c r="AH90" s="443"/>
      <c r="AI90" s="443"/>
      <c r="AJ90" s="443"/>
      <c r="AK90" s="443"/>
      <c r="AL90" s="443"/>
      <c r="AM90" s="443"/>
      <c r="AN90" s="443"/>
      <c r="AO90" s="443"/>
      <c r="AP90" s="443"/>
      <c r="AQ90" s="444">
        <f t="shared" si="19"/>
        <v>0</v>
      </c>
      <c r="AR90" s="445">
        <f t="shared" si="18"/>
        <v>0</v>
      </c>
      <c r="AW90" s="446"/>
      <c r="AX90" s="446"/>
      <c r="AY90" s="446"/>
      <c r="AZ90" s="446"/>
      <c r="BA90" s="446"/>
      <c r="BB90" s="446"/>
    </row>
    <row r="91" spans="1:54" s="6" customFormat="1" ht="4.5" customHeight="1" hidden="1" thickBot="1">
      <c r="A91" s="381"/>
      <c r="B91" s="381"/>
      <c r="C91" s="381"/>
      <c r="D91" s="381"/>
      <c r="E91" s="381"/>
      <c r="F91" s="381"/>
      <c r="G91" s="441"/>
      <c r="H91" s="431"/>
      <c r="I91" s="312"/>
      <c r="J91" s="432"/>
      <c r="K91" s="432"/>
      <c r="L91" s="476"/>
      <c r="M91" s="312"/>
      <c r="N91" s="312"/>
      <c r="O91" s="506"/>
      <c r="P91" s="507"/>
      <c r="Q91" s="434"/>
      <c r="R91" s="434"/>
      <c r="S91" s="434"/>
      <c r="T91" s="434"/>
      <c r="U91" s="434"/>
      <c r="V91" s="434"/>
      <c r="W91" s="508"/>
      <c r="X91" s="508"/>
      <c r="Y91" s="508"/>
      <c r="Z91" s="478"/>
      <c r="AA91" s="478"/>
      <c r="AB91" s="442" t="s">
        <v>239</v>
      </c>
      <c r="AC91" s="443"/>
      <c r="AD91" s="443"/>
      <c r="AE91" s="443"/>
      <c r="AF91" s="443"/>
      <c r="AG91" s="443"/>
      <c r="AH91" s="443"/>
      <c r="AI91" s="443"/>
      <c r="AJ91" s="443"/>
      <c r="AK91" s="443"/>
      <c r="AL91" s="443"/>
      <c r="AM91" s="443"/>
      <c r="AN91" s="443"/>
      <c r="AO91" s="443"/>
      <c r="AP91" s="443"/>
      <c r="AQ91" s="444">
        <f t="shared" si="19"/>
        <v>0</v>
      </c>
      <c r="AR91" s="445">
        <f t="shared" si="18"/>
        <v>0</v>
      </c>
      <c r="AW91" s="446"/>
      <c r="AX91" s="446"/>
      <c r="AY91" s="446"/>
      <c r="AZ91" s="446"/>
      <c r="BA91" s="446"/>
      <c r="BB91" s="446"/>
    </row>
    <row r="92" spans="1:54" s="6" customFormat="1" ht="14.25" customHeight="1" hidden="1" thickBot="1">
      <c r="A92" s="381"/>
      <c r="B92" s="381"/>
      <c r="C92" s="381"/>
      <c r="D92" s="381"/>
      <c r="E92" s="381"/>
      <c r="F92" s="381"/>
      <c r="G92" s="441"/>
      <c r="H92" s="431"/>
      <c r="I92" s="312"/>
      <c r="J92" s="432"/>
      <c r="K92" s="432"/>
      <c r="L92" s="476"/>
      <c r="M92" s="312"/>
      <c r="N92" s="312"/>
      <c r="O92" s="506"/>
      <c r="P92" s="507"/>
      <c r="Q92" s="434"/>
      <c r="R92" s="434"/>
      <c r="S92" s="434"/>
      <c r="T92" s="434"/>
      <c r="U92" s="434"/>
      <c r="V92" s="434"/>
      <c r="W92" s="508"/>
      <c r="X92" s="508"/>
      <c r="Y92" s="508"/>
      <c r="Z92" s="478"/>
      <c r="AA92" s="421" t="s">
        <v>311</v>
      </c>
      <c r="AB92" s="442" t="s">
        <v>240</v>
      </c>
      <c r="AC92" s="443"/>
      <c r="AD92" s="443"/>
      <c r="AE92" s="443"/>
      <c r="AF92" s="443"/>
      <c r="AG92" s="443"/>
      <c r="AH92" s="443"/>
      <c r="AI92" s="443"/>
      <c r="AJ92" s="443"/>
      <c r="AK92" s="443"/>
      <c r="AL92" s="443"/>
      <c r="AM92" s="443"/>
      <c r="AN92" s="443"/>
      <c r="AO92" s="443"/>
      <c r="AP92" s="443"/>
      <c r="AQ92" s="444">
        <f t="shared" si="19"/>
        <v>0</v>
      </c>
      <c r="AR92" s="445">
        <f t="shared" si="18"/>
        <v>0</v>
      </c>
      <c r="AW92" s="446"/>
      <c r="AX92" s="446"/>
      <c r="AY92" s="446"/>
      <c r="AZ92" s="446"/>
      <c r="BA92" s="446"/>
      <c r="BB92" s="446"/>
    </row>
    <row r="93" spans="1:54" s="6" customFormat="1" ht="14.25" customHeight="1" hidden="1" thickBot="1">
      <c r="A93" s="381"/>
      <c r="B93" s="381"/>
      <c r="C93" s="381"/>
      <c r="D93" s="381"/>
      <c r="E93" s="381"/>
      <c r="F93" s="381"/>
      <c r="G93" s="441"/>
      <c r="H93" s="431"/>
      <c r="I93" s="312"/>
      <c r="J93" s="432"/>
      <c r="K93" s="432"/>
      <c r="L93" s="476"/>
      <c r="M93" s="312"/>
      <c r="N93" s="312"/>
      <c r="O93" s="506"/>
      <c r="P93" s="507"/>
      <c r="Q93" s="434"/>
      <c r="R93" s="434"/>
      <c r="S93" s="434"/>
      <c r="T93" s="434"/>
      <c r="U93" s="434"/>
      <c r="V93" s="434"/>
      <c r="W93" s="508"/>
      <c r="X93" s="508"/>
      <c r="Y93" s="508"/>
      <c r="Z93" s="478"/>
      <c r="AA93" s="478"/>
      <c r="AB93" s="442" t="s">
        <v>241</v>
      </c>
      <c r="AC93" s="443"/>
      <c r="AD93" s="443"/>
      <c r="AE93" s="443"/>
      <c r="AF93" s="443"/>
      <c r="AG93" s="443"/>
      <c r="AH93" s="443"/>
      <c r="AI93" s="443"/>
      <c r="AJ93" s="443"/>
      <c r="AK93" s="443"/>
      <c r="AL93" s="443"/>
      <c r="AM93" s="443"/>
      <c r="AN93" s="443"/>
      <c r="AO93" s="443"/>
      <c r="AP93" s="443"/>
      <c r="AQ93" s="444">
        <f t="shared" si="19"/>
        <v>0</v>
      </c>
      <c r="AR93" s="445">
        <f t="shared" si="18"/>
        <v>0</v>
      </c>
      <c r="AW93" s="446"/>
      <c r="AX93" s="446"/>
      <c r="AY93" s="446"/>
      <c r="AZ93" s="446"/>
      <c r="BA93" s="446"/>
      <c r="BB93" s="446"/>
    </row>
    <row r="94" spans="1:54" s="6" customFormat="1" ht="14.25" customHeight="1" hidden="1" thickBot="1">
      <c r="A94" s="381"/>
      <c r="B94" s="381"/>
      <c r="C94" s="381"/>
      <c r="D94" s="381"/>
      <c r="E94" s="381"/>
      <c r="F94" s="381"/>
      <c r="G94" s="441"/>
      <c r="H94" s="431"/>
      <c r="I94" s="312"/>
      <c r="J94" s="432"/>
      <c r="K94" s="432"/>
      <c r="L94" s="476"/>
      <c r="M94" s="312"/>
      <c r="N94" s="312"/>
      <c r="O94" s="506"/>
      <c r="P94" s="507"/>
      <c r="Q94" s="434"/>
      <c r="R94" s="434"/>
      <c r="S94" s="434"/>
      <c r="T94" s="434"/>
      <c r="U94" s="434"/>
      <c r="V94" s="434"/>
      <c r="W94" s="508"/>
      <c r="X94" s="508"/>
      <c r="Y94" s="508"/>
      <c r="Z94" s="478"/>
      <c r="AA94" s="478"/>
      <c r="AB94" s="447" t="s">
        <v>282</v>
      </c>
      <c r="AC94" s="448">
        <f aca="true" t="shared" si="20" ref="AC94:AR94">SUM(AC88:AC93)+IF(AC86=0,AC87,AC86)</f>
        <v>0</v>
      </c>
      <c r="AD94" s="448">
        <f t="shared" si="20"/>
        <v>0</v>
      </c>
      <c r="AE94" s="448">
        <f t="shared" si="20"/>
        <v>0</v>
      </c>
      <c r="AF94" s="448">
        <f t="shared" si="20"/>
        <v>0</v>
      </c>
      <c r="AG94" s="448">
        <f t="shared" si="20"/>
        <v>0</v>
      </c>
      <c r="AH94" s="448">
        <f t="shared" si="20"/>
        <v>0</v>
      </c>
      <c r="AI94" s="448">
        <f t="shared" si="20"/>
        <v>0</v>
      </c>
      <c r="AJ94" s="448">
        <f t="shared" si="20"/>
        <v>0</v>
      </c>
      <c r="AK94" s="448">
        <f t="shared" si="20"/>
        <v>0</v>
      </c>
      <c r="AL94" s="448">
        <f t="shared" si="20"/>
        <v>0</v>
      </c>
      <c r="AM94" s="448">
        <f t="shared" si="20"/>
        <v>0</v>
      </c>
      <c r="AN94" s="448">
        <f t="shared" si="20"/>
        <v>0</v>
      </c>
      <c r="AO94" s="448">
        <f t="shared" si="20"/>
        <v>0</v>
      </c>
      <c r="AP94" s="448">
        <f t="shared" si="20"/>
        <v>0</v>
      </c>
      <c r="AQ94" s="448">
        <f t="shared" si="20"/>
        <v>0</v>
      </c>
      <c r="AR94" s="449">
        <f t="shared" si="20"/>
        <v>0</v>
      </c>
      <c r="AW94" s="446"/>
      <c r="AX94" s="446"/>
      <c r="AY94" s="446"/>
      <c r="AZ94" s="446"/>
      <c r="BA94" s="446"/>
      <c r="BB94" s="446"/>
    </row>
    <row r="95" spans="1:54" s="6" customFormat="1" ht="16.5" customHeight="1" hidden="1" thickBot="1">
      <c r="A95" s="381"/>
      <c r="B95" s="381"/>
      <c r="C95" s="381"/>
      <c r="D95" s="381"/>
      <c r="E95" s="381"/>
      <c r="F95" s="381"/>
      <c r="G95" s="441"/>
      <c r="H95" s="451"/>
      <c r="I95" s="332"/>
      <c r="J95" s="452"/>
      <c r="K95" s="452"/>
      <c r="L95" s="479"/>
      <c r="M95" s="332"/>
      <c r="N95" s="332"/>
      <c r="O95" s="509"/>
      <c r="P95" s="510"/>
      <c r="Q95" s="454"/>
      <c r="R95" s="454"/>
      <c r="S95" s="454"/>
      <c r="T95" s="454"/>
      <c r="U95" s="454"/>
      <c r="V95" s="454"/>
      <c r="W95" s="508"/>
      <c r="X95" s="508"/>
      <c r="Y95" s="508"/>
      <c r="Z95" s="481"/>
      <c r="AA95" s="478"/>
      <c r="AB95" s="457" t="s">
        <v>283</v>
      </c>
      <c r="AC95" s="458"/>
      <c r="AD95" s="458"/>
      <c r="AE95" s="458"/>
      <c r="AF95" s="458"/>
      <c r="AG95" s="458"/>
      <c r="AH95" s="458"/>
      <c r="AI95" s="458"/>
      <c r="AJ95" s="458"/>
      <c r="AK95" s="458"/>
      <c r="AL95" s="458"/>
      <c r="AM95" s="458"/>
      <c r="AN95" s="458"/>
      <c r="AO95" s="458"/>
      <c r="AP95" s="458"/>
      <c r="AQ95" s="459">
        <f aca="true" t="shared" si="21" ref="AQ95:AR101">+AC95+AE95+AG95+AI95+AK95+AM95+AO95</f>
        <v>0</v>
      </c>
      <c r="AR95" s="460">
        <f t="shared" si="21"/>
        <v>0</v>
      </c>
      <c r="AW95" s="446"/>
      <c r="AX95" s="446"/>
      <c r="AY95" s="446"/>
      <c r="AZ95" s="446"/>
      <c r="BA95" s="446"/>
      <c r="BB95" s="446"/>
    </row>
    <row r="96" spans="1:54" s="6" customFormat="1" ht="14.25" customHeight="1" hidden="1">
      <c r="A96" s="381" t="s">
        <v>312</v>
      </c>
      <c r="B96" s="381" t="s">
        <v>313</v>
      </c>
      <c r="C96" s="381" t="s">
        <v>218</v>
      </c>
      <c r="D96" s="381" t="s">
        <v>219</v>
      </c>
      <c r="E96" s="381" t="s">
        <v>286</v>
      </c>
      <c r="F96" s="381" t="s">
        <v>153</v>
      </c>
      <c r="G96" s="441">
        <v>8</v>
      </c>
      <c r="H96" s="416">
        <v>886</v>
      </c>
      <c r="I96" s="297" t="s">
        <v>33</v>
      </c>
      <c r="J96" s="418"/>
      <c r="K96" s="418" t="s">
        <v>26</v>
      </c>
      <c r="L96" s="475"/>
      <c r="M96" s="297"/>
      <c r="N96" s="297" t="s">
        <v>314</v>
      </c>
      <c r="O96" s="419">
        <v>0.15</v>
      </c>
      <c r="P96" s="504">
        <v>0.0665</v>
      </c>
      <c r="Q96" s="420">
        <f>SUMIF('Actividades inversión 886'!$B$13:$B$50,'Metas inversión 886'!$B96,'Actividades inversión 886'!M$13:M$50)</f>
        <v>274847000</v>
      </c>
      <c r="R96" s="420">
        <f>SUMIF('Actividades inversión 886'!$B$13:$B$50,'Metas inversión 886'!$B96,'Actividades inversión 886'!N$13:N$50)</f>
        <v>245368000</v>
      </c>
      <c r="S96" s="420">
        <f>SUMIF('Actividades inversión 886'!$B$13:$B$50,'Metas inversión 886'!$B96,'Actividades inversión 886'!O$13:O$50)</f>
        <v>245368000</v>
      </c>
      <c r="T96" s="420">
        <f>SUMIF('Actividades inversión 886'!$B$13:$B$50,'Metas inversión 886'!$B96,'Actividades inversión 886'!P$13:P$50)</f>
        <v>30553933</v>
      </c>
      <c r="U96" s="420">
        <f>SUMIF('Actividades inversión 886'!$B$13:$B$50,'Metas inversión 886'!$B96,'Actividades inversión 886'!Q$13:Q$50)</f>
        <v>34710467</v>
      </c>
      <c r="V96" s="420">
        <f>SUMIF('Actividades inversión 886'!$B$13:$B$50,'Metas inversión 886'!$B96,'Actividades inversión 886'!R$13:R$50)</f>
        <v>34710467</v>
      </c>
      <c r="W96" s="463" t="s">
        <v>315</v>
      </c>
      <c r="X96" s="421" t="s">
        <v>316</v>
      </c>
      <c r="Y96" s="463" t="s">
        <v>317</v>
      </c>
      <c r="Z96" s="421"/>
      <c r="AA96" s="421" t="s">
        <v>318</v>
      </c>
      <c r="AB96" s="465" t="s">
        <v>228</v>
      </c>
      <c r="AC96" s="466"/>
      <c r="AD96" s="466"/>
      <c r="AE96" s="466"/>
      <c r="AF96" s="466"/>
      <c r="AG96" s="466"/>
      <c r="AH96" s="466"/>
      <c r="AI96" s="466"/>
      <c r="AJ96" s="466"/>
      <c r="AK96" s="466"/>
      <c r="AL96" s="466"/>
      <c r="AM96" s="466"/>
      <c r="AN96" s="466"/>
      <c r="AO96" s="466"/>
      <c r="AP96" s="466"/>
      <c r="AQ96" s="467">
        <f t="shared" si="21"/>
        <v>0</v>
      </c>
      <c r="AR96" s="468">
        <f t="shared" si="21"/>
        <v>0</v>
      </c>
      <c r="AW96" s="446">
        <f>+'[4]99-METROPOLITANO'!N94</f>
        <v>274847000</v>
      </c>
      <c r="AX96" s="446">
        <f>+'[4]99-METROPOLITANO'!O94</f>
        <v>245368000</v>
      </c>
      <c r="AY96" s="446">
        <f>+'[4]99-METROPOLITANO'!P94</f>
        <v>245368000</v>
      </c>
      <c r="AZ96" s="446">
        <f>+'[4]99-METROPOLITANO'!Q94</f>
        <v>30553933</v>
      </c>
      <c r="BA96" s="446">
        <f>+'[4]99-METROPOLITANO'!R94</f>
        <v>34710467</v>
      </c>
      <c r="BB96" s="446">
        <f>+'[4]99-METROPOLITANO'!S94</f>
        <v>34710467</v>
      </c>
    </row>
    <row r="97" spans="1:54" s="6" customFormat="1" ht="14.25" customHeight="1" hidden="1">
      <c r="A97" s="381"/>
      <c r="B97" s="381"/>
      <c r="C97" s="381"/>
      <c r="D97" s="381"/>
      <c r="E97" s="381"/>
      <c r="F97" s="381"/>
      <c r="G97" s="441"/>
      <c r="H97" s="431"/>
      <c r="I97" s="312"/>
      <c r="J97" s="432"/>
      <c r="K97" s="432"/>
      <c r="L97" s="476"/>
      <c r="M97" s="312"/>
      <c r="N97" s="312"/>
      <c r="O97" s="433"/>
      <c r="P97" s="507"/>
      <c r="Q97" s="434"/>
      <c r="R97" s="434"/>
      <c r="S97" s="434"/>
      <c r="T97" s="434"/>
      <c r="U97" s="434"/>
      <c r="V97" s="434"/>
      <c r="W97" s="471"/>
      <c r="X97" s="435"/>
      <c r="Y97" s="471"/>
      <c r="Z97" s="435"/>
      <c r="AA97" s="435"/>
      <c r="AB97" s="450" t="s">
        <v>229</v>
      </c>
      <c r="AC97" s="443"/>
      <c r="AD97" s="443"/>
      <c r="AE97" s="443"/>
      <c r="AF97" s="443"/>
      <c r="AG97" s="443"/>
      <c r="AH97" s="443"/>
      <c r="AI97" s="443"/>
      <c r="AJ97" s="443"/>
      <c r="AK97" s="443"/>
      <c r="AL97" s="443"/>
      <c r="AM97" s="443"/>
      <c r="AN97" s="443"/>
      <c r="AO97" s="443"/>
      <c r="AP97" s="443"/>
      <c r="AQ97" s="444">
        <f t="shared" si="21"/>
        <v>0</v>
      </c>
      <c r="AR97" s="445">
        <f t="shared" si="21"/>
        <v>0</v>
      </c>
      <c r="AW97" s="446"/>
      <c r="AX97" s="446"/>
      <c r="AY97" s="446"/>
      <c r="AZ97" s="446"/>
      <c r="BA97" s="446"/>
      <c r="BB97" s="446"/>
    </row>
    <row r="98" spans="1:54" s="6" customFormat="1" ht="14.25" customHeight="1" hidden="1">
      <c r="A98" s="381"/>
      <c r="B98" s="381"/>
      <c r="C98" s="381"/>
      <c r="D98" s="381"/>
      <c r="E98" s="381"/>
      <c r="F98" s="381"/>
      <c r="G98" s="441"/>
      <c r="H98" s="431"/>
      <c r="I98" s="312"/>
      <c r="J98" s="432"/>
      <c r="K98" s="432"/>
      <c r="L98" s="476"/>
      <c r="M98" s="312"/>
      <c r="N98" s="312"/>
      <c r="O98" s="433"/>
      <c r="P98" s="507"/>
      <c r="Q98" s="434"/>
      <c r="R98" s="434"/>
      <c r="S98" s="434"/>
      <c r="T98" s="434"/>
      <c r="U98" s="434"/>
      <c r="V98" s="434"/>
      <c r="W98" s="471"/>
      <c r="X98" s="435"/>
      <c r="Y98" s="471"/>
      <c r="Z98" s="435"/>
      <c r="AA98" s="435"/>
      <c r="AB98" s="450" t="s">
        <v>230</v>
      </c>
      <c r="AC98" s="443"/>
      <c r="AD98" s="443"/>
      <c r="AE98" s="443"/>
      <c r="AF98" s="443"/>
      <c r="AG98" s="443"/>
      <c r="AH98" s="443"/>
      <c r="AI98" s="443"/>
      <c r="AJ98" s="443"/>
      <c r="AK98" s="443"/>
      <c r="AL98" s="443"/>
      <c r="AM98" s="443"/>
      <c r="AN98" s="443"/>
      <c r="AO98" s="443"/>
      <c r="AP98" s="443"/>
      <c r="AQ98" s="444">
        <f t="shared" si="21"/>
        <v>0</v>
      </c>
      <c r="AR98" s="445">
        <f t="shared" si="21"/>
        <v>0</v>
      </c>
      <c r="AW98" s="446"/>
      <c r="AX98" s="446"/>
      <c r="AY98" s="446"/>
      <c r="AZ98" s="446"/>
      <c r="BA98" s="446"/>
      <c r="BB98" s="446"/>
    </row>
    <row r="99" spans="1:54" s="6" customFormat="1" ht="14.25" customHeight="1" hidden="1">
      <c r="A99" s="381"/>
      <c r="B99" s="381"/>
      <c r="C99" s="381"/>
      <c r="D99" s="381"/>
      <c r="E99" s="381"/>
      <c r="F99" s="381"/>
      <c r="G99" s="441"/>
      <c r="H99" s="431"/>
      <c r="I99" s="312"/>
      <c r="J99" s="432"/>
      <c r="K99" s="432"/>
      <c r="L99" s="476"/>
      <c r="M99" s="312"/>
      <c r="N99" s="312"/>
      <c r="O99" s="433"/>
      <c r="P99" s="507"/>
      <c r="Q99" s="434"/>
      <c r="R99" s="434"/>
      <c r="S99" s="434"/>
      <c r="T99" s="434"/>
      <c r="U99" s="434"/>
      <c r="V99" s="434"/>
      <c r="W99" s="471"/>
      <c r="X99" s="435"/>
      <c r="Y99" s="471"/>
      <c r="Z99" s="435"/>
      <c r="AA99" s="435"/>
      <c r="AB99" s="450" t="s">
        <v>231</v>
      </c>
      <c r="AC99" s="443"/>
      <c r="AD99" s="443"/>
      <c r="AE99" s="443"/>
      <c r="AF99" s="443"/>
      <c r="AG99" s="443"/>
      <c r="AH99" s="443"/>
      <c r="AI99" s="443"/>
      <c r="AJ99" s="443"/>
      <c r="AK99" s="443"/>
      <c r="AL99" s="443"/>
      <c r="AM99" s="443"/>
      <c r="AN99" s="443"/>
      <c r="AO99" s="443"/>
      <c r="AP99" s="443"/>
      <c r="AQ99" s="444">
        <f t="shared" si="21"/>
        <v>0</v>
      </c>
      <c r="AR99" s="445">
        <f t="shared" si="21"/>
        <v>0</v>
      </c>
      <c r="AW99" s="446"/>
      <c r="AX99" s="446"/>
      <c r="AY99" s="446"/>
      <c r="AZ99" s="446"/>
      <c r="BA99" s="446"/>
      <c r="BB99" s="446"/>
    </row>
    <row r="100" spans="1:54" s="6" customFormat="1" ht="14.25" customHeight="1" hidden="1">
      <c r="A100" s="381"/>
      <c r="B100" s="381"/>
      <c r="C100" s="381"/>
      <c r="D100" s="381"/>
      <c r="E100" s="381"/>
      <c r="F100" s="381"/>
      <c r="G100" s="441"/>
      <c r="H100" s="431"/>
      <c r="I100" s="312"/>
      <c r="J100" s="432"/>
      <c r="K100" s="432"/>
      <c r="L100" s="476"/>
      <c r="M100" s="312"/>
      <c r="N100" s="312"/>
      <c r="O100" s="433"/>
      <c r="P100" s="507"/>
      <c r="Q100" s="434"/>
      <c r="R100" s="434"/>
      <c r="S100" s="434"/>
      <c r="T100" s="434"/>
      <c r="U100" s="434"/>
      <c r="V100" s="434"/>
      <c r="W100" s="471"/>
      <c r="X100" s="435"/>
      <c r="Y100" s="471"/>
      <c r="Z100" s="435"/>
      <c r="AA100" s="435"/>
      <c r="AB100" s="450" t="s">
        <v>232</v>
      </c>
      <c r="AC100" s="443"/>
      <c r="AD100" s="443"/>
      <c r="AE100" s="443"/>
      <c r="AF100" s="443"/>
      <c r="AG100" s="443"/>
      <c r="AH100" s="443"/>
      <c r="AI100" s="443"/>
      <c r="AJ100" s="443"/>
      <c r="AK100" s="443"/>
      <c r="AL100" s="443"/>
      <c r="AM100" s="443"/>
      <c r="AN100" s="443"/>
      <c r="AO100" s="443"/>
      <c r="AP100" s="443"/>
      <c r="AQ100" s="444">
        <f t="shared" si="21"/>
        <v>0</v>
      </c>
      <c r="AR100" s="445">
        <f t="shared" si="21"/>
        <v>0</v>
      </c>
      <c r="AW100" s="446"/>
      <c r="AX100" s="446"/>
      <c r="AY100" s="446"/>
      <c r="AZ100" s="446"/>
      <c r="BA100" s="446"/>
      <c r="BB100" s="446"/>
    </row>
    <row r="101" spans="1:54" s="6" customFormat="1" ht="9" customHeight="1" hidden="1" thickBot="1">
      <c r="A101" s="381"/>
      <c r="B101" s="381"/>
      <c r="C101" s="381"/>
      <c r="D101" s="381"/>
      <c r="E101" s="381"/>
      <c r="F101" s="381"/>
      <c r="G101" s="441"/>
      <c r="H101" s="431"/>
      <c r="I101" s="312"/>
      <c r="J101" s="432"/>
      <c r="K101" s="432"/>
      <c r="L101" s="476"/>
      <c r="M101" s="312"/>
      <c r="N101" s="312"/>
      <c r="O101" s="433"/>
      <c r="P101" s="507"/>
      <c r="Q101" s="434"/>
      <c r="R101" s="434"/>
      <c r="S101" s="434"/>
      <c r="T101" s="434"/>
      <c r="U101" s="434"/>
      <c r="V101" s="434"/>
      <c r="W101" s="471"/>
      <c r="X101" s="435"/>
      <c r="Y101" s="471"/>
      <c r="Z101" s="435"/>
      <c r="AA101" s="435"/>
      <c r="AB101" s="442" t="s">
        <v>233</v>
      </c>
      <c r="AC101" s="443"/>
      <c r="AD101" s="443"/>
      <c r="AE101" s="443"/>
      <c r="AF101" s="443"/>
      <c r="AG101" s="443"/>
      <c r="AH101" s="443"/>
      <c r="AI101" s="443"/>
      <c r="AJ101" s="443"/>
      <c r="AK101" s="443"/>
      <c r="AL101" s="443"/>
      <c r="AM101" s="443"/>
      <c r="AN101" s="443"/>
      <c r="AO101" s="443"/>
      <c r="AP101" s="443"/>
      <c r="AQ101" s="444">
        <f t="shared" si="21"/>
        <v>0</v>
      </c>
      <c r="AR101" s="445">
        <f t="shared" si="21"/>
        <v>0</v>
      </c>
      <c r="AW101" s="446"/>
      <c r="AX101" s="446"/>
      <c r="AY101" s="446"/>
      <c r="AZ101" s="446"/>
      <c r="BA101" s="446"/>
      <c r="BB101" s="446"/>
    </row>
    <row r="102" spans="1:54" s="6" customFormat="1" ht="5.25" customHeight="1" hidden="1" thickBot="1">
      <c r="A102" s="381"/>
      <c r="B102" s="381"/>
      <c r="C102" s="381"/>
      <c r="D102" s="381"/>
      <c r="E102" s="381"/>
      <c r="F102" s="381"/>
      <c r="G102" s="441"/>
      <c r="H102" s="431"/>
      <c r="I102" s="312"/>
      <c r="J102" s="432"/>
      <c r="K102" s="432"/>
      <c r="L102" s="476"/>
      <c r="M102" s="312"/>
      <c r="N102" s="312"/>
      <c r="O102" s="433"/>
      <c r="P102" s="507"/>
      <c r="Q102" s="434"/>
      <c r="R102" s="434"/>
      <c r="S102" s="434"/>
      <c r="T102" s="434"/>
      <c r="U102" s="434"/>
      <c r="V102" s="434"/>
      <c r="W102" s="471"/>
      <c r="X102" s="435"/>
      <c r="Y102" s="471"/>
      <c r="Z102" s="435"/>
      <c r="AA102" s="435"/>
      <c r="AB102" s="447" t="s">
        <v>234</v>
      </c>
      <c r="AC102" s="448">
        <f aca="true" t="shared" si="22" ref="AC102:AR102">SUM(AC96:AC101)</f>
        <v>0</v>
      </c>
      <c r="AD102" s="448">
        <f t="shared" si="22"/>
        <v>0</v>
      </c>
      <c r="AE102" s="448">
        <f t="shared" si="22"/>
        <v>0</v>
      </c>
      <c r="AF102" s="448">
        <f t="shared" si="22"/>
        <v>0</v>
      </c>
      <c r="AG102" s="448">
        <f t="shared" si="22"/>
        <v>0</v>
      </c>
      <c r="AH102" s="448">
        <f t="shared" si="22"/>
        <v>0</v>
      </c>
      <c r="AI102" s="448">
        <f t="shared" si="22"/>
        <v>0</v>
      </c>
      <c r="AJ102" s="448">
        <f t="shared" si="22"/>
        <v>0</v>
      </c>
      <c r="AK102" s="448">
        <f t="shared" si="22"/>
        <v>0</v>
      </c>
      <c r="AL102" s="448">
        <f t="shared" si="22"/>
        <v>0</v>
      </c>
      <c r="AM102" s="448">
        <f t="shared" si="22"/>
        <v>0</v>
      </c>
      <c r="AN102" s="448">
        <f t="shared" si="22"/>
        <v>0</v>
      </c>
      <c r="AO102" s="448">
        <f t="shared" si="22"/>
        <v>0</v>
      </c>
      <c r="AP102" s="448">
        <f t="shared" si="22"/>
        <v>0</v>
      </c>
      <c r="AQ102" s="448">
        <f t="shared" si="22"/>
        <v>0</v>
      </c>
      <c r="AR102" s="449">
        <f t="shared" si="22"/>
        <v>0</v>
      </c>
      <c r="AW102" s="446"/>
      <c r="AX102" s="446"/>
      <c r="AY102" s="446"/>
      <c r="AZ102" s="446"/>
      <c r="BA102" s="446"/>
      <c r="BB102" s="446"/>
    </row>
    <row r="103" spans="1:54" s="6" customFormat="1" ht="14.25" customHeight="1" hidden="1" thickBot="1">
      <c r="A103" s="381"/>
      <c r="B103" s="381"/>
      <c r="C103" s="381"/>
      <c r="D103" s="381"/>
      <c r="E103" s="381"/>
      <c r="F103" s="381"/>
      <c r="G103" s="441"/>
      <c r="H103" s="431"/>
      <c r="I103" s="312"/>
      <c r="J103" s="432"/>
      <c r="K103" s="432"/>
      <c r="L103" s="476"/>
      <c r="M103" s="312"/>
      <c r="N103" s="312"/>
      <c r="O103" s="433"/>
      <c r="P103" s="507"/>
      <c r="Q103" s="434"/>
      <c r="R103" s="434"/>
      <c r="S103" s="434"/>
      <c r="T103" s="434"/>
      <c r="U103" s="434"/>
      <c r="V103" s="434"/>
      <c r="W103" s="471"/>
      <c r="X103" s="435"/>
      <c r="Y103" s="471"/>
      <c r="Z103" s="435"/>
      <c r="AA103" s="435"/>
      <c r="AB103" s="450" t="s">
        <v>235</v>
      </c>
      <c r="AC103" s="443"/>
      <c r="AD103" s="443"/>
      <c r="AE103" s="443"/>
      <c r="AF103" s="443"/>
      <c r="AG103" s="443"/>
      <c r="AH103" s="443"/>
      <c r="AI103" s="443"/>
      <c r="AJ103" s="443"/>
      <c r="AK103" s="443"/>
      <c r="AL103" s="443"/>
      <c r="AM103" s="443"/>
      <c r="AN103" s="443"/>
      <c r="AO103" s="443"/>
      <c r="AP103" s="443"/>
      <c r="AQ103" s="444">
        <f>+AC103+AE103+AG103+AI103+AK103+AM103+AO103</f>
        <v>0</v>
      </c>
      <c r="AR103" s="445">
        <f aca="true" t="shared" si="23" ref="AR103:AR109">+AD103+AF103+AH103+AJ103+AL103+AN103+AP103</f>
        <v>0</v>
      </c>
      <c r="AW103" s="446"/>
      <c r="AX103" s="446"/>
      <c r="AY103" s="446"/>
      <c r="AZ103" s="446"/>
      <c r="BA103" s="446"/>
      <c r="BB103" s="446"/>
    </row>
    <row r="104" spans="1:54" s="6" customFormat="1" ht="14.25" customHeight="1" hidden="1" thickBot="1">
      <c r="A104" s="381"/>
      <c r="B104" s="381"/>
      <c r="C104" s="381"/>
      <c r="D104" s="381"/>
      <c r="E104" s="381"/>
      <c r="F104" s="381"/>
      <c r="G104" s="441"/>
      <c r="H104" s="431"/>
      <c r="I104" s="312"/>
      <c r="J104" s="432"/>
      <c r="K104" s="432"/>
      <c r="L104" s="476"/>
      <c r="M104" s="312"/>
      <c r="N104" s="312"/>
      <c r="O104" s="433"/>
      <c r="P104" s="507"/>
      <c r="Q104" s="434"/>
      <c r="R104" s="434"/>
      <c r="S104" s="434"/>
      <c r="T104" s="434"/>
      <c r="U104" s="434"/>
      <c r="V104" s="434"/>
      <c r="W104" s="471"/>
      <c r="X104" s="435"/>
      <c r="Y104" s="471"/>
      <c r="Z104" s="435"/>
      <c r="AA104" s="435"/>
      <c r="AB104" s="450" t="s">
        <v>236</v>
      </c>
      <c r="AC104" s="443"/>
      <c r="AD104" s="443"/>
      <c r="AE104" s="443"/>
      <c r="AF104" s="443"/>
      <c r="AG104" s="443"/>
      <c r="AH104" s="443"/>
      <c r="AI104" s="443"/>
      <c r="AJ104" s="443"/>
      <c r="AK104" s="443"/>
      <c r="AL104" s="443"/>
      <c r="AM104" s="443"/>
      <c r="AN104" s="443"/>
      <c r="AO104" s="443"/>
      <c r="AP104" s="443"/>
      <c r="AQ104" s="444">
        <f aca="true" t="shared" si="24" ref="AQ104:AQ109">+AC104+AE104+AG104+AI104+AK104+AM104+AO104</f>
        <v>0</v>
      </c>
      <c r="AR104" s="445">
        <f t="shared" si="23"/>
        <v>0</v>
      </c>
      <c r="AW104" s="446"/>
      <c r="AX104" s="446"/>
      <c r="AY104" s="446"/>
      <c r="AZ104" s="446"/>
      <c r="BA104" s="446"/>
      <c r="BB104" s="446"/>
    </row>
    <row r="105" spans="1:54" s="6" customFormat="1" ht="14.25" customHeight="1" hidden="1" thickBot="1">
      <c r="A105" s="381"/>
      <c r="B105" s="381"/>
      <c r="C105" s="381"/>
      <c r="D105" s="381"/>
      <c r="E105" s="381"/>
      <c r="F105" s="381"/>
      <c r="G105" s="441"/>
      <c r="H105" s="431"/>
      <c r="I105" s="312"/>
      <c r="J105" s="432"/>
      <c r="K105" s="432"/>
      <c r="L105" s="476"/>
      <c r="M105" s="312"/>
      <c r="N105" s="312"/>
      <c r="O105" s="433"/>
      <c r="P105" s="507"/>
      <c r="Q105" s="434"/>
      <c r="R105" s="434"/>
      <c r="S105" s="434"/>
      <c r="T105" s="434"/>
      <c r="U105" s="434"/>
      <c r="V105" s="434"/>
      <c r="W105" s="471"/>
      <c r="X105" s="435"/>
      <c r="Y105" s="471"/>
      <c r="Z105" s="435"/>
      <c r="AA105" s="435"/>
      <c r="AB105" s="442" t="s">
        <v>237</v>
      </c>
      <c r="AC105" s="443"/>
      <c r="AD105" s="443"/>
      <c r="AE105" s="443"/>
      <c r="AF105" s="443"/>
      <c r="AG105" s="443"/>
      <c r="AH105" s="443"/>
      <c r="AI105" s="443"/>
      <c r="AJ105" s="443"/>
      <c r="AK105" s="443"/>
      <c r="AL105" s="443"/>
      <c r="AM105" s="443"/>
      <c r="AN105" s="443"/>
      <c r="AO105" s="443"/>
      <c r="AP105" s="443"/>
      <c r="AQ105" s="444">
        <f t="shared" si="24"/>
        <v>0</v>
      </c>
      <c r="AR105" s="445">
        <f t="shared" si="23"/>
        <v>0</v>
      </c>
      <c r="AW105" s="446"/>
      <c r="AX105" s="446"/>
      <c r="AY105" s="446"/>
      <c r="AZ105" s="446"/>
      <c r="BA105" s="446"/>
      <c r="BB105" s="446"/>
    </row>
    <row r="106" spans="1:54" s="6" customFormat="1" ht="14.25" customHeight="1" hidden="1" thickBot="1">
      <c r="A106" s="381"/>
      <c r="B106" s="381"/>
      <c r="C106" s="381"/>
      <c r="D106" s="381"/>
      <c r="E106" s="381"/>
      <c r="F106" s="381"/>
      <c r="G106" s="441"/>
      <c r="H106" s="431"/>
      <c r="I106" s="312"/>
      <c r="J106" s="432"/>
      <c r="K106" s="432"/>
      <c r="L106" s="476"/>
      <c r="M106" s="312"/>
      <c r="N106" s="312"/>
      <c r="O106" s="433"/>
      <c r="P106" s="507"/>
      <c r="Q106" s="434"/>
      <c r="R106" s="434"/>
      <c r="S106" s="434"/>
      <c r="T106" s="434"/>
      <c r="U106" s="434"/>
      <c r="V106" s="434"/>
      <c r="W106" s="471"/>
      <c r="X106" s="435"/>
      <c r="Y106" s="471"/>
      <c r="Z106" s="435"/>
      <c r="AA106" s="435"/>
      <c r="AB106" s="442" t="s">
        <v>238</v>
      </c>
      <c r="AC106" s="443"/>
      <c r="AD106" s="443"/>
      <c r="AE106" s="443"/>
      <c r="AF106" s="443"/>
      <c r="AG106" s="443"/>
      <c r="AH106" s="443"/>
      <c r="AI106" s="443"/>
      <c r="AJ106" s="443"/>
      <c r="AK106" s="443"/>
      <c r="AL106" s="443"/>
      <c r="AM106" s="443"/>
      <c r="AN106" s="443"/>
      <c r="AO106" s="443"/>
      <c r="AP106" s="443"/>
      <c r="AQ106" s="444">
        <f t="shared" si="24"/>
        <v>0</v>
      </c>
      <c r="AR106" s="445">
        <f t="shared" si="23"/>
        <v>0</v>
      </c>
      <c r="AW106" s="446"/>
      <c r="AX106" s="446"/>
      <c r="AY106" s="446"/>
      <c r="AZ106" s="446"/>
      <c r="BA106" s="446"/>
      <c r="BB106" s="446"/>
    </row>
    <row r="107" spans="1:54" s="6" customFormat="1" ht="14.25" customHeight="1" hidden="1" thickBot="1">
      <c r="A107" s="381"/>
      <c r="B107" s="381"/>
      <c r="C107" s="381"/>
      <c r="D107" s="381"/>
      <c r="E107" s="381"/>
      <c r="F107" s="381"/>
      <c r="G107" s="441"/>
      <c r="H107" s="431"/>
      <c r="I107" s="312"/>
      <c r="J107" s="432"/>
      <c r="K107" s="432"/>
      <c r="L107" s="476"/>
      <c r="M107" s="312"/>
      <c r="N107" s="312"/>
      <c r="O107" s="433"/>
      <c r="P107" s="507"/>
      <c r="Q107" s="434"/>
      <c r="R107" s="434"/>
      <c r="S107" s="434"/>
      <c r="T107" s="434"/>
      <c r="U107" s="434"/>
      <c r="V107" s="434"/>
      <c r="W107" s="471"/>
      <c r="X107" s="435"/>
      <c r="Y107" s="471"/>
      <c r="Z107" s="435"/>
      <c r="AA107" s="435"/>
      <c r="AB107" s="442" t="s">
        <v>239</v>
      </c>
      <c r="AC107" s="443"/>
      <c r="AD107" s="443"/>
      <c r="AE107" s="443"/>
      <c r="AF107" s="443"/>
      <c r="AG107" s="443"/>
      <c r="AH107" s="443"/>
      <c r="AI107" s="443"/>
      <c r="AJ107" s="443"/>
      <c r="AK107" s="443"/>
      <c r="AL107" s="443"/>
      <c r="AM107" s="443"/>
      <c r="AN107" s="443"/>
      <c r="AO107" s="443"/>
      <c r="AP107" s="443"/>
      <c r="AQ107" s="444">
        <f t="shared" si="24"/>
        <v>0</v>
      </c>
      <c r="AR107" s="445">
        <f t="shared" si="23"/>
        <v>0</v>
      </c>
      <c r="AW107" s="446"/>
      <c r="AX107" s="446"/>
      <c r="AY107" s="446"/>
      <c r="AZ107" s="446"/>
      <c r="BA107" s="446"/>
      <c r="BB107" s="446"/>
    </row>
    <row r="108" spans="1:54" s="6" customFormat="1" ht="14.25" customHeight="1" hidden="1" thickBot="1">
      <c r="A108" s="381"/>
      <c r="B108" s="381"/>
      <c r="C108" s="381"/>
      <c r="D108" s="381"/>
      <c r="E108" s="381"/>
      <c r="F108" s="381"/>
      <c r="G108" s="441"/>
      <c r="H108" s="431"/>
      <c r="I108" s="312"/>
      <c r="J108" s="432"/>
      <c r="K108" s="432"/>
      <c r="L108" s="476"/>
      <c r="M108" s="312"/>
      <c r="N108" s="312"/>
      <c r="O108" s="433"/>
      <c r="P108" s="507"/>
      <c r="Q108" s="434"/>
      <c r="R108" s="434"/>
      <c r="S108" s="434"/>
      <c r="T108" s="434"/>
      <c r="U108" s="434"/>
      <c r="V108" s="434"/>
      <c r="W108" s="471"/>
      <c r="X108" s="435"/>
      <c r="Y108" s="471"/>
      <c r="Z108" s="435"/>
      <c r="AA108" s="435"/>
      <c r="AB108" s="442" t="s">
        <v>240</v>
      </c>
      <c r="AC108" s="443"/>
      <c r="AD108" s="443"/>
      <c r="AE108" s="443"/>
      <c r="AF108" s="443"/>
      <c r="AG108" s="443"/>
      <c r="AH108" s="443"/>
      <c r="AI108" s="443"/>
      <c r="AJ108" s="443"/>
      <c r="AK108" s="443"/>
      <c r="AL108" s="443"/>
      <c r="AM108" s="443"/>
      <c r="AN108" s="443"/>
      <c r="AO108" s="443"/>
      <c r="AP108" s="443"/>
      <c r="AQ108" s="444">
        <f t="shared" si="24"/>
        <v>0</v>
      </c>
      <c r="AR108" s="445">
        <f t="shared" si="23"/>
        <v>0</v>
      </c>
      <c r="AW108" s="446"/>
      <c r="AX108" s="446"/>
      <c r="AY108" s="446"/>
      <c r="AZ108" s="446"/>
      <c r="BA108" s="446"/>
      <c r="BB108" s="446"/>
    </row>
    <row r="109" spans="1:54" s="6" customFormat="1" ht="14.25" customHeight="1" hidden="1" thickBot="1">
      <c r="A109" s="381"/>
      <c r="B109" s="381"/>
      <c r="C109" s="381"/>
      <c r="D109" s="381"/>
      <c r="E109" s="381"/>
      <c r="F109" s="381"/>
      <c r="G109" s="441"/>
      <c r="H109" s="431"/>
      <c r="I109" s="312"/>
      <c r="J109" s="432"/>
      <c r="K109" s="432"/>
      <c r="L109" s="476"/>
      <c r="M109" s="312"/>
      <c r="N109" s="312"/>
      <c r="O109" s="433"/>
      <c r="P109" s="507"/>
      <c r="Q109" s="434"/>
      <c r="R109" s="434"/>
      <c r="S109" s="434"/>
      <c r="T109" s="434"/>
      <c r="U109" s="434"/>
      <c r="V109" s="434"/>
      <c r="W109" s="471"/>
      <c r="X109" s="435"/>
      <c r="Y109" s="471"/>
      <c r="Z109" s="435"/>
      <c r="AA109" s="435"/>
      <c r="AB109" s="442" t="s">
        <v>241</v>
      </c>
      <c r="AC109" s="443"/>
      <c r="AD109" s="443"/>
      <c r="AE109" s="443"/>
      <c r="AF109" s="443"/>
      <c r="AG109" s="443"/>
      <c r="AH109" s="443"/>
      <c r="AI109" s="443"/>
      <c r="AJ109" s="443"/>
      <c r="AK109" s="443"/>
      <c r="AL109" s="443"/>
      <c r="AM109" s="443"/>
      <c r="AN109" s="443"/>
      <c r="AO109" s="443"/>
      <c r="AP109" s="443"/>
      <c r="AQ109" s="444">
        <f t="shared" si="24"/>
        <v>0</v>
      </c>
      <c r="AR109" s="445">
        <f t="shared" si="23"/>
        <v>0</v>
      </c>
      <c r="AW109" s="446"/>
      <c r="AX109" s="446"/>
      <c r="AY109" s="446"/>
      <c r="AZ109" s="446"/>
      <c r="BA109" s="446"/>
      <c r="BB109" s="446"/>
    </row>
    <row r="110" spans="1:54" s="6" customFormat="1" ht="14.25" customHeight="1" hidden="1" thickBot="1">
      <c r="A110" s="381"/>
      <c r="B110" s="381"/>
      <c r="C110" s="381"/>
      <c r="D110" s="381"/>
      <c r="E110" s="381"/>
      <c r="F110" s="381"/>
      <c r="G110" s="441"/>
      <c r="H110" s="431"/>
      <c r="I110" s="312"/>
      <c r="J110" s="432"/>
      <c r="K110" s="432"/>
      <c r="L110" s="476"/>
      <c r="M110" s="312"/>
      <c r="N110" s="312"/>
      <c r="O110" s="433"/>
      <c r="P110" s="507"/>
      <c r="Q110" s="434"/>
      <c r="R110" s="434"/>
      <c r="S110" s="434"/>
      <c r="T110" s="434"/>
      <c r="U110" s="434"/>
      <c r="V110" s="434"/>
      <c r="W110" s="471"/>
      <c r="X110" s="435"/>
      <c r="Y110" s="471"/>
      <c r="Z110" s="435"/>
      <c r="AA110" s="435"/>
      <c r="AB110" s="447" t="s">
        <v>282</v>
      </c>
      <c r="AC110" s="448">
        <f aca="true" t="shared" si="25" ref="AC110:AR110">SUM(AC104:AC109)+IF(AC102=0,AC103,AC102)</f>
        <v>0</v>
      </c>
      <c r="AD110" s="448">
        <f t="shared" si="25"/>
        <v>0</v>
      </c>
      <c r="AE110" s="448">
        <f t="shared" si="25"/>
        <v>0</v>
      </c>
      <c r="AF110" s="448">
        <f t="shared" si="25"/>
        <v>0</v>
      </c>
      <c r="AG110" s="448">
        <f t="shared" si="25"/>
        <v>0</v>
      </c>
      <c r="AH110" s="448">
        <f t="shared" si="25"/>
        <v>0</v>
      </c>
      <c r="AI110" s="448">
        <f t="shared" si="25"/>
        <v>0</v>
      </c>
      <c r="AJ110" s="448">
        <f t="shared" si="25"/>
        <v>0</v>
      </c>
      <c r="AK110" s="448">
        <f t="shared" si="25"/>
        <v>0</v>
      </c>
      <c r="AL110" s="448">
        <f t="shared" si="25"/>
        <v>0</v>
      </c>
      <c r="AM110" s="448">
        <f t="shared" si="25"/>
        <v>0</v>
      </c>
      <c r="AN110" s="448">
        <f t="shared" si="25"/>
        <v>0</v>
      </c>
      <c r="AO110" s="448">
        <f t="shared" si="25"/>
        <v>0</v>
      </c>
      <c r="AP110" s="448">
        <f t="shared" si="25"/>
        <v>0</v>
      </c>
      <c r="AQ110" s="448">
        <f t="shared" si="25"/>
        <v>0</v>
      </c>
      <c r="AR110" s="449">
        <f t="shared" si="25"/>
        <v>0</v>
      </c>
      <c r="AW110" s="446"/>
      <c r="AX110" s="446"/>
      <c r="AY110" s="446"/>
      <c r="AZ110" s="446"/>
      <c r="BA110" s="446"/>
      <c r="BB110" s="446"/>
    </row>
    <row r="111" spans="1:54" s="6" customFormat="1" ht="14.25" customHeight="1" hidden="1" thickBot="1">
      <c r="A111" s="381"/>
      <c r="B111" s="381"/>
      <c r="C111" s="381"/>
      <c r="D111" s="381"/>
      <c r="E111" s="381"/>
      <c r="F111" s="381"/>
      <c r="G111" s="441"/>
      <c r="H111" s="451"/>
      <c r="I111" s="332"/>
      <c r="J111" s="452"/>
      <c r="K111" s="452"/>
      <c r="L111" s="479"/>
      <c r="M111" s="332"/>
      <c r="N111" s="332"/>
      <c r="O111" s="453"/>
      <c r="P111" s="510"/>
      <c r="Q111" s="454"/>
      <c r="R111" s="454"/>
      <c r="S111" s="454"/>
      <c r="T111" s="454"/>
      <c r="U111" s="454"/>
      <c r="V111" s="454"/>
      <c r="W111" s="474"/>
      <c r="X111" s="455"/>
      <c r="Y111" s="474"/>
      <c r="Z111" s="455"/>
      <c r="AA111" s="455"/>
      <c r="AB111" s="457" t="s">
        <v>283</v>
      </c>
      <c r="AC111" s="458"/>
      <c r="AD111" s="458"/>
      <c r="AE111" s="458"/>
      <c r="AF111" s="458"/>
      <c r="AG111" s="458"/>
      <c r="AH111" s="458"/>
      <c r="AI111" s="458"/>
      <c r="AJ111" s="458"/>
      <c r="AK111" s="458"/>
      <c r="AL111" s="458"/>
      <c r="AM111" s="458"/>
      <c r="AN111" s="458"/>
      <c r="AO111" s="458"/>
      <c r="AP111" s="458"/>
      <c r="AQ111" s="459">
        <f aca="true" t="shared" si="26" ref="AQ111:AR117">+AC111+AE111+AG111+AI111+AK111+AM111+AO111</f>
        <v>0</v>
      </c>
      <c r="AR111" s="460">
        <f t="shared" si="26"/>
        <v>0</v>
      </c>
      <c r="AW111" s="446"/>
      <c r="AX111" s="446"/>
      <c r="AY111" s="446"/>
      <c r="AZ111" s="446"/>
      <c r="BA111" s="446"/>
      <c r="BB111" s="446"/>
    </row>
    <row r="112" spans="1:54" s="6" customFormat="1" ht="14.25" customHeight="1" hidden="1">
      <c r="A112" s="381" t="s">
        <v>319</v>
      </c>
      <c r="B112" s="381" t="s">
        <v>320</v>
      </c>
      <c r="C112" s="381" t="s">
        <v>218</v>
      </c>
      <c r="D112" s="381" t="s">
        <v>219</v>
      </c>
      <c r="E112" s="381" t="s">
        <v>153</v>
      </c>
      <c r="F112" s="381" t="s">
        <v>220</v>
      </c>
      <c r="G112" s="441">
        <v>9</v>
      </c>
      <c r="H112" s="416">
        <v>886</v>
      </c>
      <c r="I112" s="297" t="s">
        <v>34</v>
      </c>
      <c r="J112" s="418"/>
      <c r="K112" s="418" t="s">
        <v>26</v>
      </c>
      <c r="L112" s="475"/>
      <c r="M112" s="297"/>
      <c r="N112" s="297" t="s">
        <v>321</v>
      </c>
      <c r="O112" s="419">
        <v>0.3</v>
      </c>
      <c r="P112" s="504">
        <v>0.155</v>
      </c>
      <c r="Q112" s="420">
        <f>SUMIF('Actividades inversión 886'!$B$13:$B$50,'Metas inversión 886'!$B112,'Actividades inversión 886'!M$13:M$50)</f>
        <v>448463000</v>
      </c>
      <c r="R112" s="420">
        <f>SUMIF('Actividades inversión 886'!$B$13:$B$50,'Metas inversión 886'!$B112,'Actividades inversión 886'!N$13:N$50)</f>
        <v>462348000</v>
      </c>
      <c r="S112" s="420">
        <f>SUMIF('Actividades inversión 886'!$B$13:$B$50,'Metas inversión 886'!$B112,'Actividades inversión 886'!O$13:O$50)</f>
        <v>275170000</v>
      </c>
      <c r="T112" s="420">
        <f>SUMIF('Actividades inversión 886'!$B$13:$B$50,'Metas inversión 886'!$B112,'Actividades inversión 886'!P$13:P$50)</f>
        <v>42120166</v>
      </c>
      <c r="U112" s="420">
        <f>SUMIF('Actividades inversión 886'!$B$13:$B$50,'Metas inversión 886'!$B112,'Actividades inversión 886'!Q$13:Q$50)</f>
        <v>62680400</v>
      </c>
      <c r="V112" s="420">
        <f>SUMIF('Actividades inversión 886'!$B$13:$B$50,'Metas inversión 886'!$B112,'Actividades inversión 886'!R$13:R$50)</f>
        <v>55305500</v>
      </c>
      <c r="W112" s="463" t="s">
        <v>322</v>
      </c>
      <c r="X112" s="463" t="s">
        <v>323</v>
      </c>
      <c r="Y112" s="421" t="s">
        <v>324</v>
      </c>
      <c r="Z112" s="421"/>
      <c r="AA112" s="421"/>
      <c r="AB112" s="465" t="s">
        <v>280</v>
      </c>
      <c r="AC112" s="466"/>
      <c r="AD112" s="466"/>
      <c r="AE112" s="466"/>
      <c r="AF112" s="466"/>
      <c r="AG112" s="466"/>
      <c r="AH112" s="466"/>
      <c r="AI112" s="466"/>
      <c r="AJ112" s="466"/>
      <c r="AK112" s="466"/>
      <c r="AL112" s="466"/>
      <c r="AM112" s="466"/>
      <c r="AN112" s="466"/>
      <c r="AO112" s="466"/>
      <c r="AP112" s="466"/>
      <c r="AQ112" s="467">
        <f t="shared" si="26"/>
        <v>0</v>
      </c>
      <c r="AR112" s="468">
        <f t="shared" si="26"/>
        <v>0</v>
      </c>
      <c r="AW112" s="446">
        <f>+'[4]99-METROPOLITANO'!N110</f>
        <v>448463000</v>
      </c>
      <c r="AX112" s="446">
        <f>+'[4]99-METROPOLITANO'!O110</f>
        <v>462348000</v>
      </c>
      <c r="AY112" s="446">
        <f>+'[4]99-METROPOLITANO'!P110</f>
        <v>275170000</v>
      </c>
      <c r="AZ112" s="446">
        <f>+'[4]99-METROPOLITANO'!Q110</f>
        <v>42120166</v>
      </c>
      <c r="BA112" s="446">
        <f>+'[4]99-METROPOLITANO'!R110</f>
        <v>62680400</v>
      </c>
      <c r="BB112" s="446">
        <f>+'[4]99-METROPOLITANO'!S110</f>
        <v>55305500</v>
      </c>
    </row>
    <row r="113" spans="1:54" s="6" customFormat="1" ht="14.25" customHeight="1" hidden="1">
      <c r="A113" s="381"/>
      <c r="B113" s="381"/>
      <c r="C113" s="381"/>
      <c r="D113" s="381"/>
      <c r="E113" s="381"/>
      <c r="F113" s="381"/>
      <c r="G113" s="441"/>
      <c r="H113" s="431"/>
      <c r="I113" s="312"/>
      <c r="J113" s="432"/>
      <c r="K113" s="432"/>
      <c r="L113" s="476"/>
      <c r="M113" s="312"/>
      <c r="N113" s="312"/>
      <c r="O113" s="433"/>
      <c r="P113" s="507"/>
      <c r="Q113" s="434"/>
      <c r="R113" s="434"/>
      <c r="S113" s="434"/>
      <c r="T113" s="434"/>
      <c r="U113" s="434"/>
      <c r="V113" s="434"/>
      <c r="W113" s="471"/>
      <c r="X113" s="511"/>
      <c r="Y113" s="478"/>
      <c r="Z113" s="478"/>
      <c r="AA113" s="478"/>
      <c r="AB113" s="450" t="s">
        <v>229</v>
      </c>
      <c r="AC113" s="443"/>
      <c r="AD113" s="443"/>
      <c r="AE113" s="443"/>
      <c r="AF113" s="443"/>
      <c r="AG113" s="443"/>
      <c r="AH113" s="443"/>
      <c r="AI113" s="443"/>
      <c r="AJ113" s="443"/>
      <c r="AK113" s="443"/>
      <c r="AL113" s="443"/>
      <c r="AM113" s="443"/>
      <c r="AN113" s="443"/>
      <c r="AO113" s="443"/>
      <c r="AP113" s="443"/>
      <c r="AQ113" s="444">
        <f t="shared" si="26"/>
        <v>0</v>
      </c>
      <c r="AR113" s="445">
        <f t="shared" si="26"/>
        <v>0</v>
      </c>
      <c r="AW113" s="446"/>
      <c r="AX113" s="446"/>
      <c r="AY113" s="446"/>
      <c r="AZ113" s="446"/>
      <c r="BA113" s="446"/>
      <c r="BB113" s="446"/>
    </row>
    <row r="114" spans="1:54" s="6" customFormat="1" ht="14.25" customHeight="1" hidden="1">
      <c r="A114" s="381"/>
      <c r="B114" s="381"/>
      <c r="C114" s="381"/>
      <c r="D114" s="381"/>
      <c r="E114" s="381"/>
      <c r="F114" s="381"/>
      <c r="G114" s="441"/>
      <c r="H114" s="431"/>
      <c r="I114" s="312"/>
      <c r="J114" s="432"/>
      <c r="K114" s="432"/>
      <c r="L114" s="476"/>
      <c r="M114" s="312"/>
      <c r="N114" s="312"/>
      <c r="O114" s="433"/>
      <c r="P114" s="507"/>
      <c r="Q114" s="434"/>
      <c r="R114" s="434"/>
      <c r="S114" s="434"/>
      <c r="T114" s="434"/>
      <c r="U114" s="434"/>
      <c r="V114" s="434"/>
      <c r="W114" s="471"/>
      <c r="X114" s="511"/>
      <c r="Y114" s="478"/>
      <c r="Z114" s="478"/>
      <c r="AA114" s="478"/>
      <c r="AB114" s="450" t="s">
        <v>230</v>
      </c>
      <c r="AC114" s="443"/>
      <c r="AD114" s="443"/>
      <c r="AE114" s="443"/>
      <c r="AF114" s="443"/>
      <c r="AG114" s="443"/>
      <c r="AH114" s="443"/>
      <c r="AI114" s="443"/>
      <c r="AJ114" s="443"/>
      <c r="AK114" s="443"/>
      <c r="AL114" s="443"/>
      <c r="AM114" s="443"/>
      <c r="AN114" s="443"/>
      <c r="AO114" s="443"/>
      <c r="AP114" s="443"/>
      <c r="AQ114" s="444">
        <f t="shared" si="26"/>
        <v>0</v>
      </c>
      <c r="AR114" s="445">
        <f t="shared" si="26"/>
        <v>0</v>
      </c>
      <c r="AW114" s="446"/>
      <c r="AX114" s="446"/>
      <c r="AY114" s="446"/>
      <c r="AZ114" s="446"/>
      <c r="BA114" s="446"/>
      <c r="BB114" s="446"/>
    </row>
    <row r="115" spans="1:54" s="6" customFormat="1" ht="14.25" customHeight="1" hidden="1">
      <c r="A115" s="381"/>
      <c r="B115" s="381"/>
      <c r="C115" s="381"/>
      <c r="D115" s="381"/>
      <c r="E115" s="381"/>
      <c r="F115" s="381"/>
      <c r="G115" s="441"/>
      <c r="H115" s="431"/>
      <c r="I115" s="312"/>
      <c r="J115" s="432"/>
      <c r="K115" s="432"/>
      <c r="L115" s="476"/>
      <c r="M115" s="312"/>
      <c r="N115" s="312"/>
      <c r="O115" s="433"/>
      <c r="P115" s="507"/>
      <c r="Q115" s="434"/>
      <c r="R115" s="434"/>
      <c r="S115" s="434"/>
      <c r="T115" s="434"/>
      <c r="U115" s="434"/>
      <c r="V115" s="434"/>
      <c r="W115" s="471"/>
      <c r="X115" s="511"/>
      <c r="Y115" s="478"/>
      <c r="Z115" s="478"/>
      <c r="AA115" s="478"/>
      <c r="AB115" s="450" t="s">
        <v>231</v>
      </c>
      <c r="AC115" s="443"/>
      <c r="AD115" s="443"/>
      <c r="AE115" s="443"/>
      <c r="AF115" s="443"/>
      <c r="AG115" s="443"/>
      <c r="AH115" s="443"/>
      <c r="AI115" s="443"/>
      <c r="AJ115" s="443"/>
      <c r="AK115" s="443"/>
      <c r="AL115" s="443"/>
      <c r="AM115" s="443"/>
      <c r="AN115" s="443"/>
      <c r="AO115" s="443"/>
      <c r="AP115" s="443"/>
      <c r="AQ115" s="444">
        <f t="shared" si="26"/>
        <v>0</v>
      </c>
      <c r="AR115" s="445">
        <f t="shared" si="26"/>
        <v>0</v>
      </c>
      <c r="AW115" s="446"/>
      <c r="AX115" s="446"/>
      <c r="AY115" s="446"/>
      <c r="AZ115" s="446"/>
      <c r="BA115" s="446"/>
      <c r="BB115" s="446"/>
    </row>
    <row r="116" spans="1:54" s="6" customFormat="1" ht="14.25" customHeight="1" hidden="1">
      <c r="A116" s="381"/>
      <c r="B116" s="381"/>
      <c r="C116" s="381"/>
      <c r="D116" s="381"/>
      <c r="E116" s="381"/>
      <c r="F116" s="381"/>
      <c r="G116" s="441"/>
      <c r="H116" s="431"/>
      <c r="I116" s="312"/>
      <c r="J116" s="432"/>
      <c r="K116" s="432"/>
      <c r="L116" s="476"/>
      <c r="M116" s="312"/>
      <c r="N116" s="312"/>
      <c r="O116" s="433"/>
      <c r="P116" s="507"/>
      <c r="Q116" s="434"/>
      <c r="R116" s="434"/>
      <c r="S116" s="434"/>
      <c r="T116" s="434"/>
      <c r="U116" s="434"/>
      <c r="V116" s="434"/>
      <c r="W116" s="471"/>
      <c r="X116" s="511"/>
      <c r="Y116" s="478"/>
      <c r="Z116" s="478"/>
      <c r="AA116" s="478"/>
      <c r="AB116" s="450" t="s">
        <v>232</v>
      </c>
      <c r="AC116" s="443"/>
      <c r="AD116" s="443"/>
      <c r="AE116" s="443"/>
      <c r="AF116" s="443"/>
      <c r="AG116" s="443"/>
      <c r="AH116" s="443"/>
      <c r="AI116" s="443"/>
      <c r="AJ116" s="443"/>
      <c r="AK116" s="443"/>
      <c r="AL116" s="443"/>
      <c r="AM116" s="443"/>
      <c r="AN116" s="443"/>
      <c r="AO116" s="443"/>
      <c r="AP116" s="443"/>
      <c r="AQ116" s="444">
        <f t="shared" si="26"/>
        <v>0</v>
      </c>
      <c r="AR116" s="445">
        <f t="shared" si="26"/>
        <v>0</v>
      </c>
      <c r="AW116" s="446"/>
      <c r="AX116" s="446"/>
      <c r="AY116" s="446"/>
      <c r="AZ116" s="446"/>
      <c r="BA116" s="446"/>
      <c r="BB116" s="446"/>
    </row>
    <row r="117" spans="1:54" s="6" customFormat="1" ht="3.75" customHeight="1" hidden="1">
      <c r="A117" s="381"/>
      <c r="B117" s="381"/>
      <c r="C117" s="381"/>
      <c r="D117" s="381"/>
      <c r="E117" s="381"/>
      <c r="F117" s="381"/>
      <c r="G117" s="441"/>
      <c r="H117" s="431"/>
      <c r="I117" s="312"/>
      <c r="J117" s="432"/>
      <c r="K117" s="432"/>
      <c r="L117" s="476"/>
      <c r="M117" s="312"/>
      <c r="N117" s="312"/>
      <c r="O117" s="433"/>
      <c r="P117" s="507"/>
      <c r="Q117" s="434"/>
      <c r="R117" s="434"/>
      <c r="S117" s="434"/>
      <c r="T117" s="434"/>
      <c r="U117" s="434"/>
      <c r="V117" s="434"/>
      <c r="W117" s="471"/>
      <c r="X117" s="511"/>
      <c r="Y117" s="478"/>
      <c r="Z117" s="478"/>
      <c r="AA117" s="478"/>
      <c r="AB117" s="442" t="s">
        <v>233</v>
      </c>
      <c r="AC117" s="443"/>
      <c r="AD117" s="443"/>
      <c r="AE117" s="443"/>
      <c r="AF117" s="443"/>
      <c r="AG117" s="443"/>
      <c r="AH117" s="443"/>
      <c r="AI117" s="443"/>
      <c r="AJ117" s="443"/>
      <c r="AK117" s="443"/>
      <c r="AL117" s="443"/>
      <c r="AM117" s="443"/>
      <c r="AN117" s="443"/>
      <c r="AO117" s="443"/>
      <c r="AP117" s="443"/>
      <c r="AQ117" s="444">
        <f t="shared" si="26"/>
        <v>0</v>
      </c>
      <c r="AR117" s="445">
        <f t="shared" si="26"/>
        <v>0</v>
      </c>
      <c r="AW117" s="446"/>
      <c r="AX117" s="446"/>
      <c r="AY117" s="446"/>
      <c r="AZ117" s="446"/>
      <c r="BA117" s="446"/>
      <c r="BB117" s="446"/>
    </row>
    <row r="118" spans="1:54" s="514" customFormat="1" ht="14.25" customHeight="1" hidden="1">
      <c r="A118" s="512"/>
      <c r="B118" s="512"/>
      <c r="C118" s="512"/>
      <c r="D118" s="512"/>
      <c r="E118" s="512"/>
      <c r="F118" s="512"/>
      <c r="G118" s="513"/>
      <c r="H118" s="431"/>
      <c r="I118" s="312"/>
      <c r="J118" s="432"/>
      <c r="K118" s="432"/>
      <c r="L118" s="476"/>
      <c r="M118" s="312"/>
      <c r="N118" s="312"/>
      <c r="O118" s="433"/>
      <c r="P118" s="507"/>
      <c r="Q118" s="434"/>
      <c r="R118" s="434"/>
      <c r="S118" s="434"/>
      <c r="T118" s="434"/>
      <c r="U118" s="434"/>
      <c r="V118" s="434"/>
      <c r="W118" s="471"/>
      <c r="X118" s="511"/>
      <c r="Y118" s="478"/>
      <c r="Z118" s="478"/>
      <c r="AA118" s="478"/>
      <c r="AB118" s="447" t="s">
        <v>234</v>
      </c>
      <c r="AC118" s="448">
        <f aca="true" t="shared" si="27" ref="AC118:AR118">SUM(AC112:AC117)</f>
        <v>0</v>
      </c>
      <c r="AD118" s="448">
        <f t="shared" si="27"/>
        <v>0</v>
      </c>
      <c r="AE118" s="448">
        <f t="shared" si="27"/>
        <v>0</v>
      </c>
      <c r="AF118" s="448">
        <f t="shared" si="27"/>
        <v>0</v>
      </c>
      <c r="AG118" s="448">
        <f t="shared" si="27"/>
        <v>0</v>
      </c>
      <c r="AH118" s="448">
        <f t="shared" si="27"/>
        <v>0</v>
      </c>
      <c r="AI118" s="448">
        <f t="shared" si="27"/>
        <v>0</v>
      </c>
      <c r="AJ118" s="448">
        <f t="shared" si="27"/>
        <v>0</v>
      </c>
      <c r="AK118" s="448">
        <f t="shared" si="27"/>
        <v>0</v>
      </c>
      <c r="AL118" s="448">
        <f t="shared" si="27"/>
        <v>0</v>
      </c>
      <c r="AM118" s="448">
        <f t="shared" si="27"/>
        <v>0</v>
      </c>
      <c r="AN118" s="448">
        <f t="shared" si="27"/>
        <v>0</v>
      </c>
      <c r="AO118" s="448">
        <f t="shared" si="27"/>
        <v>0</v>
      </c>
      <c r="AP118" s="448">
        <f t="shared" si="27"/>
        <v>0</v>
      </c>
      <c r="AQ118" s="448">
        <f t="shared" si="27"/>
        <v>0</v>
      </c>
      <c r="AR118" s="449">
        <f t="shared" si="27"/>
        <v>0</v>
      </c>
      <c r="AW118" s="515"/>
      <c r="AX118" s="515"/>
      <c r="AY118" s="515"/>
      <c r="AZ118" s="515"/>
      <c r="BA118" s="515"/>
      <c r="BB118" s="515"/>
    </row>
    <row r="119" spans="1:54" s="514" customFormat="1" ht="14.25" customHeight="1" hidden="1">
      <c r="A119" s="512"/>
      <c r="B119" s="512"/>
      <c r="C119" s="512"/>
      <c r="D119" s="512"/>
      <c r="E119" s="512"/>
      <c r="F119" s="512"/>
      <c r="G119" s="513"/>
      <c r="H119" s="431"/>
      <c r="I119" s="312"/>
      <c r="J119" s="432"/>
      <c r="K119" s="432"/>
      <c r="L119" s="476"/>
      <c r="M119" s="312"/>
      <c r="N119" s="312"/>
      <c r="O119" s="433"/>
      <c r="P119" s="507"/>
      <c r="Q119" s="434"/>
      <c r="R119" s="434"/>
      <c r="S119" s="434"/>
      <c r="T119" s="434"/>
      <c r="U119" s="434"/>
      <c r="V119" s="434"/>
      <c r="W119" s="471"/>
      <c r="X119" s="511"/>
      <c r="Y119" s="478"/>
      <c r="Z119" s="478"/>
      <c r="AA119" s="478"/>
      <c r="AB119" s="450" t="s">
        <v>235</v>
      </c>
      <c r="AC119" s="443"/>
      <c r="AD119" s="443"/>
      <c r="AE119" s="443"/>
      <c r="AF119" s="443"/>
      <c r="AG119" s="443"/>
      <c r="AH119" s="443"/>
      <c r="AI119" s="443"/>
      <c r="AJ119" s="443"/>
      <c r="AK119" s="443"/>
      <c r="AL119" s="443"/>
      <c r="AM119" s="443"/>
      <c r="AN119" s="443"/>
      <c r="AO119" s="443"/>
      <c r="AP119" s="443"/>
      <c r="AQ119" s="444">
        <f>+AC119+AE119+AG119+AI119+AK119+AM119+AO119</f>
        <v>0</v>
      </c>
      <c r="AR119" s="445">
        <f aca="true" t="shared" si="28" ref="AR119:AR125">+AD119+AF119+AH119+AJ119+AL119+AN119+AP119</f>
        <v>0</v>
      </c>
      <c r="AW119" s="515"/>
      <c r="AX119" s="515"/>
      <c r="AY119" s="515"/>
      <c r="AZ119" s="515"/>
      <c r="BA119" s="515"/>
      <c r="BB119" s="515"/>
    </row>
    <row r="120" spans="1:54" s="514" customFormat="1" ht="14.25" customHeight="1" hidden="1">
      <c r="A120" s="512"/>
      <c r="B120" s="512"/>
      <c r="C120" s="512"/>
      <c r="D120" s="512"/>
      <c r="E120" s="512"/>
      <c r="F120" s="512"/>
      <c r="G120" s="513"/>
      <c r="H120" s="431"/>
      <c r="I120" s="312"/>
      <c r="J120" s="432"/>
      <c r="K120" s="432"/>
      <c r="L120" s="476"/>
      <c r="M120" s="312"/>
      <c r="N120" s="312"/>
      <c r="O120" s="433"/>
      <c r="P120" s="507"/>
      <c r="Q120" s="434"/>
      <c r="R120" s="434"/>
      <c r="S120" s="434"/>
      <c r="T120" s="434"/>
      <c r="U120" s="434"/>
      <c r="V120" s="434"/>
      <c r="W120" s="471"/>
      <c r="X120" s="511"/>
      <c r="Y120" s="478"/>
      <c r="Z120" s="421" t="s">
        <v>325</v>
      </c>
      <c r="AA120" s="478"/>
      <c r="AB120" s="450" t="s">
        <v>281</v>
      </c>
      <c r="AC120" s="443"/>
      <c r="AD120" s="443"/>
      <c r="AE120" s="443"/>
      <c r="AF120" s="443"/>
      <c r="AG120" s="443"/>
      <c r="AH120" s="443"/>
      <c r="AI120" s="443"/>
      <c r="AJ120" s="443"/>
      <c r="AK120" s="443"/>
      <c r="AL120" s="443"/>
      <c r="AM120" s="443"/>
      <c r="AN120" s="443"/>
      <c r="AO120" s="443"/>
      <c r="AP120" s="443"/>
      <c r="AQ120" s="444">
        <f aca="true" t="shared" si="29" ref="AQ120:AQ125">+AC120+AE120+AG120+AI120+AK120+AM120+AO120</f>
        <v>0</v>
      </c>
      <c r="AR120" s="445">
        <f t="shared" si="28"/>
        <v>0</v>
      </c>
      <c r="AW120" s="515"/>
      <c r="AX120" s="515"/>
      <c r="AY120" s="515"/>
      <c r="AZ120" s="515"/>
      <c r="BA120" s="515"/>
      <c r="BB120" s="515"/>
    </row>
    <row r="121" spans="1:54" s="514" customFormat="1" ht="14.25" customHeight="1" hidden="1">
      <c r="A121" s="512"/>
      <c r="B121" s="512"/>
      <c r="C121" s="512"/>
      <c r="D121" s="512"/>
      <c r="E121" s="512"/>
      <c r="F121" s="512"/>
      <c r="G121" s="513"/>
      <c r="H121" s="431"/>
      <c r="I121" s="312"/>
      <c r="J121" s="432"/>
      <c r="K121" s="432"/>
      <c r="L121" s="476"/>
      <c r="M121" s="312"/>
      <c r="N121" s="312"/>
      <c r="O121" s="433"/>
      <c r="P121" s="507"/>
      <c r="Q121" s="434"/>
      <c r="R121" s="434"/>
      <c r="S121" s="434"/>
      <c r="T121" s="434"/>
      <c r="U121" s="434"/>
      <c r="V121" s="434"/>
      <c r="W121" s="471"/>
      <c r="X121" s="511"/>
      <c r="Y121" s="478"/>
      <c r="Z121" s="478"/>
      <c r="AA121" s="478"/>
      <c r="AB121" s="442" t="s">
        <v>237</v>
      </c>
      <c r="AC121" s="443"/>
      <c r="AD121" s="443"/>
      <c r="AE121" s="443"/>
      <c r="AF121" s="443"/>
      <c r="AG121" s="443"/>
      <c r="AH121" s="443"/>
      <c r="AI121" s="443"/>
      <c r="AJ121" s="443"/>
      <c r="AK121" s="443"/>
      <c r="AL121" s="443"/>
      <c r="AM121" s="443"/>
      <c r="AN121" s="443"/>
      <c r="AO121" s="443"/>
      <c r="AP121" s="443"/>
      <c r="AQ121" s="444">
        <f t="shared" si="29"/>
        <v>0</v>
      </c>
      <c r="AR121" s="445">
        <f t="shared" si="28"/>
        <v>0</v>
      </c>
      <c r="AW121" s="515"/>
      <c r="AX121" s="515"/>
      <c r="AY121" s="515"/>
      <c r="AZ121" s="515"/>
      <c r="BA121" s="515"/>
      <c r="BB121" s="515"/>
    </row>
    <row r="122" spans="1:54" s="514" customFormat="1" ht="14.25" customHeight="1" hidden="1">
      <c r="A122" s="512"/>
      <c r="B122" s="512"/>
      <c r="C122" s="512"/>
      <c r="D122" s="512"/>
      <c r="E122" s="512"/>
      <c r="F122" s="512"/>
      <c r="G122" s="513"/>
      <c r="H122" s="431"/>
      <c r="I122" s="312"/>
      <c r="J122" s="432"/>
      <c r="K122" s="432"/>
      <c r="L122" s="476"/>
      <c r="M122" s="312"/>
      <c r="N122" s="312"/>
      <c r="O122" s="433"/>
      <c r="P122" s="507"/>
      <c r="Q122" s="434"/>
      <c r="R122" s="434"/>
      <c r="S122" s="434"/>
      <c r="T122" s="434"/>
      <c r="U122" s="434"/>
      <c r="V122" s="434"/>
      <c r="W122" s="471"/>
      <c r="X122" s="511"/>
      <c r="Y122" s="478"/>
      <c r="Z122" s="478"/>
      <c r="AA122" s="478"/>
      <c r="AB122" s="442" t="s">
        <v>238</v>
      </c>
      <c r="AC122" s="443"/>
      <c r="AD122" s="443"/>
      <c r="AE122" s="443"/>
      <c r="AF122" s="443"/>
      <c r="AG122" s="443"/>
      <c r="AH122" s="443"/>
      <c r="AI122" s="443"/>
      <c r="AJ122" s="443"/>
      <c r="AK122" s="443"/>
      <c r="AL122" s="443"/>
      <c r="AM122" s="443"/>
      <c r="AN122" s="443"/>
      <c r="AO122" s="443"/>
      <c r="AP122" s="443"/>
      <c r="AQ122" s="444">
        <f t="shared" si="29"/>
        <v>0</v>
      </c>
      <c r="AR122" s="445">
        <f t="shared" si="28"/>
        <v>0</v>
      </c>
      <c r="AW122" s="515"/>
      <c r="AX122" s="515"/>
      <c r="AY122" s="515"/>
      <c r="AZ122" s="515"/>
      <c r="BA122" s="515"/>
      <c r="BB122" s="515"/>
    </row>
    <row r="123" spans="1:54" s="514" customFormat="1" ht="14.25" customHeight="1" hidden="1">
      <c r="A123" s="512"/>
      <c r="B123" s="512"/>
      <c r="C123" s="512"/>
      <c r="D123" s="512"/>
      <c r="E123" s="512"/>
      <c r="F123" s="512"/>
      <c r="G123" s="513"/>
      <c r="H123" s="431"/>
      <c r="I123" s="312"/>
      <c r="J123" s="432"/>
      <c r="K123" s="432"/>
      <c r="L123" s="476"/>
      <c r="M123" s="312"/>
      <c r="N123" s="312"/>
      <c r="O123" s="433"/>
      <c r="P123" s="507"/>
      <c r="Q123" s="434"/>
      <c r="R123" s="434"/>
      <c r="S123" s="434"/>
      <c r="T123" s="434"/>
      <c r="U123" s="434"/>
      <c r="V123" s="434"/>
      <c r="W123" s="471"/>
      <c r="X123" s="511"/>
      <c r="Y123" s="478"/>
      <c r="Z123" s="478"/>
      <c r="AA123" s="478"/>
      <c r="AB123" s="442" t="s">
        <v>239</v>
      </c>
      <c r="AC123" s="443"/>
      <c r="AD123" s="443"/>
      <c r="AE123" s="443"/>
      <c r="AF123" s="443"/>
      <c r="AG123" s="443"/>
      <c r="AH123" s="443"/>
      <c r="AI123" s="443"/>
      <c r="AJ123" s="443"/>
      <c r="AK123" s="443"/>
      <c r="AL123" s="443"/>
      <c r="AM123" s="443"/>
      <c r="AN123" s="443"/>
      <c r="AO123" s="443"/>
      <c r="AP123" s="443"/>
      <c r="AQ123" s="444">
        <f t="shared" si="29"/>
        <v>0</v>
      </c>
      <c r="AR123" s="445">
        <f t="shared" si="28"/>
        <v>0</v>
      </c>
      <c r="AW123" s="515"/>
      <c r="AX123" s="515"/>
      <c r="AY123" s="515"/>
      <c r="AZ123" s="515"/>
      <c r="BA123" s="515"/>
      <c r="BB123" s="515"/>
    </row>
    <row r="124" spans="1:54" s="514" customFormat="1" ht="14.25" customHeight="1" hidden="1">
      <c r="A124" s="512"/>
      <c r="B124" s="512"/>
      <c r="C124" s="512"/>
      <c r="D124" s="512"/>
      <c r="E124" s="512"/>
      <c r="F124" s="512"/>
      <c r="G124" s="513"/>
      <c r="H124" s="431"/>
      <c r="I124" s="312"/>
      <c r="J124" s="432"/>
      <c r="K124" s="432"/>
      <c r="L124" s="476"/>
      <c r="M124" s="312"/>
      <c r="N124" s="312"/>
      <c r="O124" s="433"/>
      <c r="P124" s="507"/>
      <c r="Q124" s="434"/>
      <c r="R124" s="434"/>
      <c r="S124" s="434"/>
      <c r="T124" s="434"/>
      <c r="U124" s="434"/>
      <c r="V124" s="434"/>
      <c r="W124" s="471"/>
      <c r="X124" s="511"/>
      <c r="Y124" s="478"/>
      <c r="Z124" s="478"/>
      <c r="AA124" s="478"/>
      <c r="AB124" s="442" t="s">
        <v>240</v>
      </c>
      <c r="AC124" s="443"/>
      <c r="AD124" s="443"/>
      <c r="AE124" s="443"/>
      <c r="AF124" s="443"/>
      <c r="AG124" s="443"/>
      <c r="AH124" s="443"/>
      <c r="AI124" s="443"/>
      <c r="AJ124" s="443"/>
      <c r="AK124" s="443"/>
      <c r="AL124" s="443"/>
      <c r="AM124" s="443"/>
      <c r="AN124" s="443"/>
      <c r="AO124" s="443"/>
      <c r="AP124" s="443"/>
      <c r="AQ124" s="444">
        <f t="shared" si="29"/>
        <v>0</v>
      </c>
      <c r="AR124" s="445">
        <f t="shared" si="28"/>
        <v>0</v>
      </c>
      <c r="AW124" s="515"/>
      <c r="AX124" s="515"/>
      <c r="AY124" s="515"/>
      <c r="AZ124" s="515"/>
      <c r="BA124" s="515"/>
      <c r="BB124" s="515"/>
    </row>
    <row r="125" spans="1:54" s="514" customFormat="1" ht="14.25" customHeight="1" hidden="1">
      <c r="A125" s="512"/>
      <c r="B125" s="512"/>
      <c r="C125" s="512"/>
      <c r="D125" s="512"/>
      <c r="E125" s="512"/>
      <c r="F125" s="512"/>
      <c r="G125" s="513"/>
      <c r="H125" s="431"/>
      <c r="I125" s="312"/>
      <c r="J125" s="432"/>
      <c r="K125" s="432"/>
      <c r="L125" s="476"/>
      <c r="M125" s="312"/>
      <c r="N125" s="312"/>
      <c r="O125" s="433"/>
      <c r="P125" s="507"/>
      <c r="Q125" s="434"/>
      <c r="R125" s="434"/>
      <c r="S125" s="434"/>
      <c r="T125" s="434"/>
      <c r="U125" s="434"/>
      <c r="V125" s="434"/>
      <c r="W125" s="471"/>
      <c r="X125" s="511"/>
      <c r="Y125" s="478"/>
      <c r="Z125" s="478"/>
      <c r="AA125" s="478"/>
      <c r="AB125" s="442" t="s">
        <v>241</v>
      </c>
      <c r="AC125" s="443"/>
      <c r="AD125" s="443"/>
      <c r="AE125" s="443"/>
      <c r="AF125" s="443"/>
      <c r="AG125" s="443"/>
      <c r="AH125" s="443"/>
      <c r="AI125" s="443"/>
      <c r="AJ125" s="443"/>
      <c r="AK125" s="443"/>
      <c r="AL125" s="443"/>
      <c r="AM125" s="443"/>
      <c r="AN125" s="443"/>
      <c r="AO125" s="443"/>
      <c r="AP125" s="443"/>
      <c r="AQ125" s="444">
        <f t="shared" si="29"/>
        <v>0</v>
      </c>
      <c r="AR125" s="445">
        <f t="shared" si="28"/>
        <v>0</v>
      </c>
      <c r="AW125" s="515"/>
      <c r="AX125" s="515"/>
      <c r="AY125" s="515"/>
      <c r="AZ125" s="515"/>
      <c r="BA125" s="515"/>
      <c r="BB125" s="515"/>
    </row>
    <row r="126" spans="1:54" s="514" customFormat="1" ht="14.25" customHeight="1" hidden="1">
      <c r="A126" s="512"/>
      <c r="B126" s="512"/>
      <c r="C126" s="512"/>
      <c r="D126" s="512"/>
      <c r="E126" s="512"/>
      <c r="F126" s="512"/>
      <c r="G126" s="513"/>
      <c r="H126" s="431"/>
      <c r="I126" s="312"/>
      <c r="J126" s="432"/>
      <c r="K126" s="432"/>
      <c r="L126" s="476"/>
      <c r="M126" s="312"/>
      <c r="N126" s="312"/>
      <c r="O126" s="433"/>
      <c r="P126" s="507"/>
      <c r="Q126" s="434"/>
      <c r="R126" s="434"/>
      <c r="S126" s="434"/>
      <c r="T126" s="434"/>
      <c r="U126" s="434"/>
      <c r="V126" s="434"/>
      <c r="W126" s="471"/>
      <c r="X126" s="511"/>
      <c r="Y126" s="478"/>
      <c r="Z126" s="478"/>
      <c r="AA126" s="478"/>
      <c r="AB126" s="447" t="s">
        <v>282</v>
      </c>
      <c r="AC126" s="448">
        <f aca="true" t="shared" si="30" ref="AC126:AR126">SUM(AC120:AC125)+IF(AC118=0,AC119,AC118)</f>
        <v>0</v>
      </c>
      <c r="AD126" s="448">
        <f t="shared" si="30"/>
        <v>0</v>
      </c>
      <c r="AE126" s="448">
        <f t="shared" si="30"/>
        <v>0</v>
      </c>
      <c r="AF126" s="448">
        <f t="shared" si="30"/>
        <v>0</v>
      </c>
      <c r="AG126" s="448">
        <f t="shared" si="30"/>
        <v>0</v>
      </c>
      <c r="AH126" s="448">
        <f t="shared" si="30"/>
        <v>0</v>
      </c>
      <c r="AI126" s="448">
        <f t="shared" si="30"/>
        <v>0</v>
      </c>
      <c r="AJ126" s="448">
        <f t="shared" si="30"/>
        <v>0</v>
      </c>
      <c r="AK126" s="448">
        <f t="shared" si="30"/>
        <v>0</v>
      </c>
      <c r="AL126" s="448">
        <f t="shared" si="30"/>
        <v>0</v>
      </c>
      <c r="AM126" s="448">
        <f t="shared" si="30"/>
        <v>0</v>
      </c>
      <c r="AN126" s="448">
        <f t="shared" si="30"/>
        <v>0</v>
      </c>
      <c r="AO126" s="448">
        <f t="shared" si="30"/>
        <v>0</v>
      </c>
      <c r="AP126" s="448">
        <f t="shared" si="30"/>
        <v>0</v>
      </c>
      <c r="AQ126" s="448">
        <f t="shared" si="30"/>
        <v>0</v>
      </c>
      <c r="AR126" s="449">
        <f t="shared" si="30"/>
        <v>0</v>
      </c>
      <c r="AW126" s="515"/>
      <c r="AX126" s="515"/>
      <c r="AY126" s="515"/>
      <c r="AZ126" s="515"/>
      <c r="BA126" s="515"/>
      <c r="BB126" s="515"/>
    </row>
    <row r="127" spans="1:54" s="514" customFormat="1" ht="14.25" customHeight="1" hidden="1" thickBot="1">
      <c r="A127" s="512"/>
      <c r="B127" s="512"/>
      <c r="C127" s="512"/>
      <c r="D127" s="512"/>
      <c r="E127" s="512"/>
      <c r="F127" s="512"/>
      <c r="G127" s="513"/>
      <c r="H127" s="451"/>
      <c r="I127" s="332"/>
      <c r="J127" s="452"/>
      <c r="K127" s="452"/>
      <c r="L127" s="479"/>
      <c r="M127" s="332"/>
      <c r="N127" s="332"/>
      <c r="O127" s="453"/>
      <c r="P127" s="510"/>
      <c r="Q127" s="454"/>
      <c r="R127" s="454"/>
      <c r="S127" s="454"/>
      <c r="T127" s="454"/>
      <c r="U127" s="454"/>
      <c r="V127" s="454"/>
      <c r="W127" s="474"/>
      <c r="X127" s="516"/>
      <c r="Y127" s="481"/>
      <c r="Z127" s="478"/>
      <c r="AA127" s="481"/>
      <c r="AB127" s="457" t="s">
        <v>283</v>
      </c>
      <c r="AC127" s="458"/>
      <c r="AD127" s="458"/>
      <c r="AE127" s="458"/>
      <c r="AF127" s="458"/>
      <c r="AG127" s="458"/>
      <c r="AH127" s="458"/>
      <c r="AI127" s="458"/>
      <c r="AJ127" s="458"/>
      <c r="AK127" s="458"/>
      <c r="AL127" s="458"/>
      <c r="AM127" s="458"/>
      <c r="AN127" s="458"/>
      <c r="AO127" s="458"/>
      <c r="AP127" s="458"/>
      <c r="AQ127" s="459">
        <f>+AC127+AE127+AG127+AI127+AK127+AM127+AO127</f>
        <v>0</v>
      </c>
      <c r="AR127" s="460">
        <f>+AD127+AF127+AH127+AJ127+AL127+AN127+AP127</f>
        <v>0</v>
      </c>
      <c r="AW127" s="515"/>
      <c r="AX127" s="515"/>
      <c r="AY127" s="515"/>
      <c r="AZ127" s="515"/>
      <c r="BA127" s="515"/>
      <c r="BB127" s="515"/>
    </row>
    <row r="128" spans="7:54" s="517" customFormat="1" ht="14.25" customHeight="1">
      <c r="G128" s="518"/>
      <c r="H128" s="518"/>
      <c r="I128" s="518"/>
      <c r="J128" s="518"/>
      <c r="K128" s="518"/>
      <c r="L128" s="518"/>
      <c r="M128" s="518"/>
      <c r="N128" s="518"/>
      <c r="O128" s="518"/>
      <c r="P128" s="519"/>
      <c r="Q128" s="520">
        <f aca="true" t="shared" si="31" ref="Q128:V128">SUBTOTAL(9,Q16:Q127)</f>
        <v>7894820000</v>
      </c>
      <c r="R128" s="521">
        <f t="shared" si="31"/>
        <v>7894820000</v>
      </c>
      <c r="S128" s="521">
        <f t="shared" si="31"/>
        <v>5848057920</v>
      </c>
      <c r="T128" s="521">
        <f t="shared" si="31"/>
        <v>949524737</v>
      </c>
      <c r="U128" s="521">
        <f t="shared" si="31"/>
        <v>1247933437</v>
      </c>
      <c r="V128" s="521">
        <f t="shared" si="31"/>
        <v>1079405928</v>
      </c>
      <c r="W128" s="518"/>
      <c r="X128" s="518"/>
      <c r="Y128" s="518"/>
      <c r="Z128" s="518"/>
      <c r="AA128" s="518"/>
      <c r="AB128" s="518"/>
      <c r="AC128" s="518"/>
      <c r="AD128" s="518"/>
      <c r="AE128" s="518"/>
      <c r="AF128" s="518"/>
      <c r="AG128" s="518"/>
      <c r="AH128" s="518"/>
      <c r="AI128" s="518"/>
      <c r="AJ128" s="518"/>
      <c r="AK128" s="518"/>
      <c r="AL128" s="518"/>
      <c r="AM128" s="518"/>
      <c r="AN128" s="518"/>
      <c r="AO128" s="518"/>
      <c r="AP128" s="518"/>
      <c r="AQ128" s="518"/>
      <c r="AR128" s="518"/>
      <c r="AW128" s="521">
        <f aca="true" t="shared" si="32" ref="AW128:BB128">SUM(AW16:AW127)</f>
        <v>7894820000</v>
      </c>
      <c r="AX128" s="521">
        <f t="shared" si="32"/>
        <v>7894820000</v>
      </c>
      <c r="AY128" s="521">
        <f t="shared" si="32"/>
        <v>5848057920</v>
      </c>
      <c r="AZ128" s="521">
        <f t="shared" si="32"/>
        <v>949524737</v>
      </c>
      <c r="BA128" s="521">
        <f t="shared" si="32"/>
        <v>1247933437</v>
      </c>
      <c r="BB128" s="521">
        <f t="shared" si="32"/>
        <v>1079405928</v>
      </c>
    </row>
    <row r="129" spans="17:54" ht="14.25" customHeight="1">
      <c r="Q129" s="522"/>
      <c r="R129" s="523"/>
      <c r="S129" s="523"/>
      <c r="T129" s="523"/>
      <c r="U129" s="522"/>
      <c r="V129" s="523"/>
      <c r="AB129" s="6"/>
      <c r="AC129" s="6"/>
      <c r="AD129" s="6"/>
      <c r="AE129" s="6"/>
      <c r="AF129" s="6"/>
      <c r="AG129" s="6"/>
      <c r="AH129" s="6"/>
      <c r="AI129" s="6"/>
      <c r="AJ129" s="6"/>
      <c r="AK129" s="6"/>
      <c r="AL129" s="6"/>
      <c r="AM129" s="6"/>
      <c r="AN129" s="6"/>
      <c r="AO129" s="6"/>
      <c r="AP129" s="6"/>
      <c r="AQ129" s="6"/>
      <c r="AR129" s="6"/>
      <c r="AS129" s="6"/>
      <c r="AT129" s="6"/>
      <c r="AU129" s="6"/>
      <c r="AV129" s="6"/>
      <c r="AW129" s="6"/>
      <c r="AX129" s="446"/>
      <c r="AY129" s="446"/>
      <c r="AZ129" s="446"/>
      <c r="BA129" s="446"/>
      <c r="BB129" s="446"/>
    </row>
    <row r="130" spans="17:49" ht="14.25" customHeight="1">
      <c r="Q130" s="524"/>
      <c r="R130" s="524"/>
      <c r="S130" s="524"/>
      <c r="T130" s="524"/>
      <c r="U130" s="524"/>
      <c r="V130" s="524"/>
      <c r="AB130" s="6"/>
      <c r="AC130" s="6"/>
      <c r="AD130" s="6"/>
      <c r="AE130" s="6"/>
      <c r="AF130" s="6"/>
      <c r="AG130" s="6"/>
      <c r="AH130" s="6"/>
      <c r="AI130" s="6"/>
      <c r="AJ130" s="6"/>
      <c r="AK130" s="6"/>
      <c r="AL130" s="6"/>
      <c r="AM130" s="6"/>
      <c r="AN130" s="6"/>
      <c r="AO130" s="6"/>
      <c r="AP130" s="6"/>
      <c r="AQ130" s="6"/>
      <c r="AR130" s="6"/>
      <c r="AS130" s="6"/>
      <c r="AT130" s="6"/>
      <c r="AU130" s="6"/>
      <c r="AV130" s="6"/>
      <c r="AW130" s="6"/>
    </row>
    <row r="131" spans="20:49" ht="14.25" customHeight="1">
      <c r="T131" s="525"/>
      <c r="AB131" s="6"/>
      <c r="AC131" s="6"/>
      <c r="AD131" s="6"/>
      <c r="AE131" s="6"/>
      <c r="AF131" s="6"/>
      <c r="AG131" s="6"/>
      <c r="AH131" s="6"/>
      <c r="AI131" s="6"/>
      <c r="AJ131" s="6"/>
      <c r="AK131" s="6"/>
      <c r="AL131" s="6"/>
      <c r="AM131" s="6"/>
      <c r="AN131" s="6"/>
      <c r="AO131" s="6"/>
      <c r="AP131" s="6"/>
      <c r="AQ131" s="6"/>
      <c r="AR131" s="6"/>
      <c r="AS131" s="6"/>
      <c r="AT131" s="6"/>
      <c r="AU131" s="6"/>
      <c r="AV131" s="6"/>
      <c r="AW131" s="6"/>
    </row>
    <row r="132" spans="18:49" ht="14.25" customHeight="1">
      <c r="R132" s="526"/>
      <c r="V132" s="524"/>
      <c r="AB132" s="6"/>
      <c r="AC132" s="6"/>
      <c r="AD132" s="6"/>
      <c r="AE132" s="6"/>
      <c r="AF132" s="6"/>
      <c r="AG132" s="6"/>
      <c r="AH132" s="6"/>
      <c r="AI132" s="6"/>
      <c r="AJ132" s="6"/>
      <c r="AK132" s="6"/>
      <c r="AL132" s="6"/>
      <c r="AM132" s="6"/>
      <c r="AN132" s="6"/>
      <c r="AO132" s="6"/>
      <c r="AP132" s="6"/>
      <c r="AQ132" s="6"/>
      <c r="AR132" s="6"/>
      <c r="AS132" s="6"/>
      <c r="AT132" s="6"/>
      <c r="AU132" s="6"/>
      <c r="AV132" s="6"/>
      <c r="AW132" s="6"/>
    </row>
    <row r="133" spans="28:49" ht="14.25" customHeight="1">
      <c r="AB133" s="6"/>
      <c r="AC133" s="6"/>
      <c r="AD133" s="6"/>
      <c r="AE133" s="6"/>
      <c r="AF133" s="6"/>
      <c r="AG133" s="6"/>
      <c r="AH133" s="6"/>
      <c r="AI133" s="6"/>
      <c r="AJ133" s="6"/>
      <c r="AK133" s="6"/>
      <c r="AL133" s="6"/>
      <c r="AM133" s="6"/>
      <c r="AN133" s="6"/>
      <c r="AO133" s="6"/>
      <c r="AP133" s="6"/>
      <c r="AQ133" s="6"/>
      <c r="AR133" s="6"/>
      <c r="AS133" s="6"/>
      <c r="AT133" s="6"/>
      <c r="AU133" s="6"/>
      <c r="AV133" s="6"/>
      <c r="AW133" s="6"/>
    </row>
    <row r="134" spans="18:49" ht="14.25" customHeight="1">
      <c r="R134" s="527"/>
      <c r="S134" s="528"/>
      <c r="T134" s="6"/>
      <c r="AB134" s="6"/>
      <c r="AC134" s="6"/>
      <c r="AD134" s="6"/>
      <c r="AE134" s="6"/>
      <c r="AF134" s="6"/>
      <c r="AG134" s="6"/>
      <c r="AH134" s="6"/>
      <c r="AI134" s="6"/>
      <c r="AJ134" s="6"/>
      <c r="AK134" s="6"/>
      <c r="AL134" s="6"/>
      <c r="AM134" s="6"/>
      <c r="AN134" s="6"/>
      <c r="AO134" s="6"/>
      <c r="AP134" s="6"/>
      <c r="AQ134" s="6"/>
      <c r="AR134" s="6"/>
      <c r="AS134" s="6"/>
      <c r="AT134" s="6"/>
      <c r="AU134" s="6"/>
      <c r="AV134" s="6"/>
      <c r="AW134" s="6"/>
    </row>
    <row r="135" spans="18:49" ht="14.25" customHeight="1">
      <c r="R135" s="527"/>
      <c r="S135" s="528"/>
      <c r="AB135" s="6"/>
      <c r="AC135" s="6"/>
      <c r="AD135" s="6"/>
      <c r="AE135" s="6"/>
      <c r="AF135" s="6"/>
      <c r="AG135" s="6"/>
      <c r="AH135" s="6"/>
      <c r="AI135" s="6"/>
      <c r="AJ135" s="6"/>
      <c r="AK135" s="6"/>
      <c r="AL135" s="6"/>
      <c r="AM135" s="6"/>
      <c r="AN135" s="6"/>
      <c r="AO135" s="6"/>
      <c r="AP135" s="6"/>
      <c r="AQ135" s="6"/>
      <c r="AR135" s="6"/>
      <c r="AS135" s="6"/>
      <c r="AT135" s="6"/>
      <c r="AU135" s="6"/>
      <c r="AV135" s="6"/>
      <c r="AW135" s="6"/>
    </row>
    <row r="136" spans="18:49" ht="14.25" customHeight="1">
      <c r="R136" s="527"/>
      <c r="S136" s="528"/>
      <c r="AB136" s="6"/>
      <c r="AC136" s="6"/>
      <c r="AD136" s="6"/>
      <c r="AE136" s="6"/>
      <c r="AF136" s="6"/>
      <c r="AG136" s="6"/>
      <c r="AH136" s="6"/>
      <c r="AI136" s="6"/>
      <c r="AJ136" s="6"/>
      <c r="AK136" s="6"/>
      <c r="AL136" s="6"/>
      <c r="AM136" s="6"/>
      <c r="AN136" s="6"/>
      <c r="AO136" s="6"/>
      <c r="AP136" s="6"/>
      <c r="AQ136" s="6"/>
      <c r="AR136" s="6"/>
      <c r="AS136" s="6"/>
      <c r="AT136" s="6"/>
      <c r="AU136" s="6"/>
      <c r="AV136" s="6"/>
      <c r="AW136" s="6"/>
    </row>
    <row r="137" spans="18:49" ht="14.25" customHeight="1">
      <c r="R137" s="527"/>
      <c r="S137" s="528"/>
      <c r="AB137" s="6"/>
      <c r="AC137" s="6"/>
      <c r="AD137" s="6"/>
      <c r="AE137" s="6"/>
      <c r="AF137" s="6"/>
      <c r="AG137" s="6"/>
      <c r="AH137" s="6"/>
      <c r="AI137" s="6"/>
      <c r="AJ137" s="6"/>
      <c r="AK137" s="6"/>
      <c r="AL137" s="6"/>
      <c r="AM137" s="6"/>
      <c r="AN137" s="6"/>
      <c r="AO137" s="6"/>
      <c r="AP137" s="6"/>
      <c r="AQ137" s="6"/>
      <c r="AR137" s="6"/>
      <c r="AS137" s="6"/>
      <c r="AT137" s="6"/>
      <c r="AU137" s="6"/>
      <c r="AV137" s="6"/>
      <c r="AW137" s="6"/>
    </row>
    <row r="138" spans="18:49" ht="14.25" customHeight="1">
      <c r="R138" s="527"/>
      <c r="S138" s="528"/>
      <c r="AB138" s="6"/>
      <c r="AC138" s="6"/>
      <c r="AD138" s="6"/>
      <c r="AE138" s="6"/>
      <c r="AF138" s="6"/>
      <c r="AG138" s="6"/>
      <c r="AH138" s="6"/>
      <c r="AI138" s="6"/>
      <c r="AJ138" s="6"/>
      <c r="AK138" s="6"/>
      <c r="AL138" s="6"/>
      <c r="AM138" s="6"/>
      <c r="AN138" s="6"/>
      <c r="AO138" s="6"/>
      <c r="AP138" s="6"/>
      <c r="AQ138" s="6"/>
      <c r="AR138" s="6"/>
      <c r="AS138" s="6"/>
      <c r="AT138" s="6"/>
      <c r="AU138" s="6"/>
      <c r="AV138" s="6"/>
      <c r="AW138" s="6"/>
    </row>
    <row r="139" spans="18:49" ht="14.25" customHeight="1">
      <c r="R139" s="527"/>
      <c r="S139" s="528"/>
      <c r="U139" s="526"/>
      <c r="AB139" s="6"/>
      <c r="AC139" s="6"/>
      <c r="AD139" s="6"/>
      <c r="AE139" s="6"/>
      <c r="AF139" s="6"/>
      <c r="AG139" s="6"/>
      <c r="AH139" s="6"/>
      <c r="AI139" s="6"/>
      <c r="AJ139" s="6"/>
      <c r="AK139" s="6"/>
      <c r="AL139" s="6"/>
      <c r="AM139" s="6"/>
      <c r="AN139" s="6"/>
      <c r="AO139" s="6"/>
      <c r="AP139" s="6"/>
      <c r="AQ139" s="6"/>
      <c r="AR139" s="6"/>
      <c r="AS139" s="6"/>
      <c r="AT139" s="6"/>
      <c r="AU139" s="6"/>
      <c r="AV139" s="6"/>
      <c r="AW139" s="6"/>
    </row>
    <row r="140" spans="18:49" ht="14.25" customHeight="1">
      <c r="R140" s="527"/>
      <c r="S140" s="528"/>
      <c r="U140" s="526"/>
      <c r="V140" s="529"/>
      <c r="X140" s="530"/>
      <c r="AB140" s="6"/>
      <c r="AC140" s="6"/>
      <c r="AD140" s="6"/>
      <c r="AE140" s="6"/>
      <c r="AF140" s="6"/>
      <c r="AG140" s="6"/>
      <c r="AH140" s="6"/>
      <c r="AI140" s="6"/>
      <c r="AJ140" s="6"/>
      <c r="AK140" s="6"/>
      <c r="AL140" s="6"/>
      <c r="AM140" s="6"/>
      <c r="AN140" s="6"/>
      <c r="AO140" s="6"/>
      <c r="AP140" s="6"/>
      <c r="AQ140" s="6"/>
      <c r="AR140" s="6"/>
      <c r="AS140" s="6"/>
      <c r="AT140" s="6"/>
      <c r="AU140" s="6"/>
      <c r="AV140" s="6"/>
      <c r="AW140" s="6"/>
    </row>
    <row r="141" spans="18:49" ht="14.25" customHeight="1">
      <c r="R141" s="527"/>
      <c r="U141" s="526"/>
      <c r="V141" s="529"/>
      <c r="X141" s="530"/>
      <c r="AB141" s="6"/>
      <c r="AC141" s="6"/>
      <c r="AD141" s="6"/>
      <c r="AE141" s="6"/>
      <c r="AF141" s="6"/>
      <c r="AG141" s="6"/>
      <c r="AH141" s="6"/>
      <c r="AI141" s="6"/>
      <c r="AJ141" s="6"/>
      <c r="AK141" s="6"/>
      <c r="AL141" s="6"/>
      <c r="AM141" s="6"/>
      <c r="AN141" s="6"/>
      <c r="AO141" s="6"/>
      <c r="AP141" s="6"/>
      <c r="AQ141" s="6"/>
      <c r="AR141" s="6"/>
      <c r="AS141" s="6"/>
      <c r="AT141" s="6"/>
      <c r="AU141" s="6"/>
      <c r="AV141" s="6"/>
      <c r="AW141" s="6"/>
    </row>
    <row r="142" spans="18:49" ht="14.25" customHeight="1">
      <c r="R142" s="527"/>
      <c r="U142" s="526"/>
      <c r="V142" s="529"/>
      <c r="X142" s="530"/>
      <c r="AB142" s="6"/>
      <c r="AC142" s="6"/>
      <c r="AD142" s="6"/>
      <c r="AE142" s="6"/>
      <c r="AF142" s="6"/>
      <c r="AG142" s="6"/>
      <c r="AH142" s="6"/>
      <c r="AI142" s="6"/>
      <c r="AJ142" s="6"/>
      <c r="AK142" s="6"/>
      <c r="AL142" s="6"/>
      <c r="AM142" s="6"/>
      <c r="AN142" s="6"/>
      <c r="AO142" s="6"/>
      <c r="AP142" s="6"/>
      <c r="AQ142" s="6"/>
      <c r="AR142" s="6"/>
      <c r="AS142" s="6"/>
      <c r="AT142" s="6"/>
      <c r="AU142" s="6"/>
      <c r="AV142" s="6"/>
      <c r="AW142" s="6"/>
    </row>
    <row r="143" spans="18:49" ht="14.25" customHeight="1">
      <c r="R143" s="527"/>
      <c r="U143" s="526"/>
      <c r="V143" s="529"/>
      <c r="X143" s="530"/>
      <c r="AB143" s="6"/>
      <c r="AC143" s="6"/>
      <c r="AD143" s="6"/>
      <c r="AE143" s="6"/>
      <c r="AF143" s="6"/>
      <c r="AG143" s="6"/>
      <c r="AH143" s="6"/>
      <c r="AI143" s="6"/>
      <c r="AJ143" s="6"/>
      <c r="AK143" s="6"/>
      <c r="AL143" s="6"/>
      <c r="AM143" s="6"/>
      <c r="AN143" s="6"/>
      <c r="AO143" s="6"/>
      <c r="AP143" s="6"/>
      <c r="AQ143" s="6"/>
      <c r="AR143" s="6"/>
      <c r="AS143" s="6"/>
      <c r="AT143" s="6"/>
      <c r="AU143" s="6"/>
      <c r="AV143" s="6"/>
      <c r="AW143" s="6"/>
    </row>
    <row r="144" spans="21:49" ht="14.25" customHeight="1">
      <c r="U144" s="526"/>
      <c r="V144" s="529"/>
      <c r="X144" s="530"/>
      <c r="AB144" s="6"/>
      <c r="AC144" s="6"/>
      <c r="AD144" s="6"/>
      <c r="AE144" s="6"/>
      <c r="AF144" s="6"/>
      <c r="AG144" s="6"/>
      <c r="AH144" s="6"/>
      <c r="AI144" s="6"/>
      <c r="AJ144" s="6"/>
      <c r="AK144" s="6"/>
      <c r="AL144" s="6"/>
      <c r="AM144" s="6"/>
      <c r="AN144" s="6"/>
      <c r="AO144" s="6"/>
      <c r="AP144" s="6"/>
      <c r="AQ144" s="6"/>
      <c r="AR144" s="6"/>
      <c r="AS144" s="6"/>
      <c r="AT144" s="6"/>
      <c r="AU144" s="6"/>
      <c r="AV144" s="6"/>
      <c r="AW144" s="6"/>
    </row>
    <row r="145" spans="21:49" ht="14.25" customHeight="1">
      <c r="U145" s="526"/>
      <c r="V145" s="529"/>
      <c r="X145" s="530"/>
      <c r="AB145" s="6"/>
      <c r="AC145" s="6"/>
      <c r="AD145" s="6"/>
      <c r="AE145" s="6"/>
      <c r="AF145" s="6"/>
      <c r="AG145" s="6"/>
      <c r="AH145" s="6"/>
      <c r="AI145" s="6"/>
      <c r="AJ145" s="6"/>
      <c r="AK145" s="6"/>
      <c r="AL145" s="6"/>
      <c r="AM145" s="6"/>
      <c r="AN145" s="6"/>
      <c r="AO145" s="6"/>
      <c r="AP145" s="6"/>
      <c r="AQ145" s="6"/>
      <c r="AR145" s="6"/>
      <c r="AS145" s="6"/>
      <c r="AT145" s="6"/>
      <c r="AU145" s="6"/>
      <c r="AV145" s="6"/>
      <c r="AW145" s="6"/>
    </row>
    <row r="146" spans="21:49" ht="14.25" customHeight="1">
      <c r="U146" s="526"/>
      <c r="V146" s="529"/>
      <c r="W146" s="531"/>
      <c r="X146" s="530"/>
      <c r="AB146" s="6"/>
      <c r="AC146" s="6"/>
      <c r="AD146" s="6"/>
      <c r="AE146" s="6"/>
      <c r="AF146" s="6"/>
      <c r="AG146" s="6"/>
      <c r="AH146" s="6"/>
      <c r="AI146" s="6"/>
      <c r="AJ146" s="6"/>
      <c r="AK146" s="6"/>
      <c r="AL146" s="6"/>
      <c r="AM146" s="6"/>
      <c r="AN146" s="6"/>
      <c r="AO146" s="6"/>
      <c r="AP146" s="6"/>
      <c r="AQ146" s="6"/>
      <c r="AR146" s="6"/>
      <c r="AS146" s="6"/>
      <c r="AT146" s="6"/>
      <c r="AU146" s="6"/>
      <c r="AV146" s="6"/>
      <c r="AW146" s="6"/>
    </row>
    <row r="147" spans="21:49" ht="14.25" customHeight="1">
      <c r="U147" s="526"/>
      <c r="V147" s="529"/>
      <c r="W147" s="531"/>
      <c r="X147" s="530"/>
      <c r="AB147" s="6"/>
      <c r="AC147" s="6"/>
      <c r="AD147" s="6"/>
      <c r="AE147" s="6"/>
      <c r="AF147" s="6"/>
      <c r="AG147" s="6"/>
      <c r="AH147" s="6"/>
      <c r="AI147" s="6"/>
      <c r="AJ147" s="6"/>
      <c r="AK147" s="6"/>
      <c r="AL147" s="6"/>
      <c r="AM147" s="6"/>
      <c r="AN147" s="6"/>
      <c r="AO147" s="6"/>
      <c r="AP147" s="6"/>
      <c r="AQ147" s="6"/>
      <c r="AR147" s="6"/>
      <c r="AS147" s="6"/>
      <c r="AT147" s="6"/>
      <c r="AU147" s="6"/>
      <c r="AV147" s="6"/>
      <c r="AW147" s="6"/>
    </row>
    <row r="148" spans="18:49" ht="14.25" customHeight="1">
      <c r="R148" s="526"/>
      <c r="U148" s="526"/>
      <c r="V148" s="529"/>
      <c r="W148" s="531"/>
      <c r="X148" s="530"/>
      <c r="AB148" s="6"/>
      <c r="AC148" s="6"/>
      <c r="AD148" s="6"/>
      <c r="AE148" s="6"/>
      <c r="AF148" s="6"/>
      <c r="AG148" s="6"/>
      <c r="AH148" s="6"/>
      <c r="AI148" s="6"/>
      <c r="AJ148" s="6"/>
      <c r="AK148" s="6"/>
      <c r="AL148" s="6"/>
      <c r="AM148" s="6"/>
      <c r="AN148" s="6"/>
      <c r="AO148" s="6"/>
      <c r="AP148" s="6"/>
      <c r="AQ148" s="6"/>
      <c r="AR148" s="6"/>
      <c r="AS148" s="6"/>
      <c r="AT148" s="6"/>
      <c r="AU148" s="6"/>
      <c r="AV148" s="6"/>
      <c r="AW148" s="6"/>
    </row>
    <row r="149" spans="21:49" ht="14.25" customHeight="1">
      <c r="U149" s="526"/>
      <c r="V149" s="529"/>
      <c r="W149" s="531"/>
      <c r="X149" s="530"/>
      <c r="AB149" s="6"/>
      <c r="AC149" s="6"/>
      <c r="AD149" s="6"/>
      <c r="AE149" s="6"/>
      <c r="AF149" s="6"/>
      <c r="AG149" s="6"/>
      <c r="AH149" s="6"/>
      <c r="AI149" s="6"/>
      <c r="AJ149" s="6"/>
      <c r="AK149" s="6"/>
      <c r="AL149" s="6"/>
      <c r="AM149" s="6"/>
      <c r="AN149" s="6"/>
      <c r="AO149" s="6"/>
      <c r="AP149" s="6"/>
      <c r="AQ149" s="6"/>
      <c r="AR149" s="6"/>
      <c r="AS149" s="6"/>
      <c r="AT149" s="6"/>
      <c r="AU149" s="6"/>
      <c r="AV149" s="6"/>
      <c r="AW149" s="6"/>
    </row>
    <row r="150" spans="21:49" ht="14.25" customHeight="1">
      <c r="U150" s="526"/>
      <c r="V150" s="529"/>
      <c r="W150" s="531"/>
      <c r="X150" s="530"/>
      <c r="AB150" s="6"/>
      <c r="AC150" s="6"/>
      <c r="AD150" s="6"/>
      <c r="AE150" s="6"/>
      <c r="AF150" s="6"/>
      <c r="AG150" s="6"/>
      <c r="AH150" s="6"/>
      <c r="AI150" s="6"/>
      <c r="AJ150" s="6"/>
      <c r="AK150" s="6"/>
      <c r="AL150" s="6"/>
      <c r="AM150" s="6"/>
      <c r="AN150" s="6"/>
      <c r="AO150" s="6"/>
      <c r="AP150" s="6"/>
      <c r="AQ150" s="6"/>
      <c r="AR150" s="6"/>
      <c r="AS150" s="6"/>
      <c r="AT150" s="6"/>
      <c r="AU150" s="6"/>
      <c r="AV150" s="6"/>
      <c r="AW150" s="6"/>
    </row>
    <row r="151" spans="18:49" ht="14.25" customHeight="1">
      <c r="R151" s="56"/>
      <c r="U151" s="526"/>
      <c r="V151" s="529"/>
      <c r="W151" s="531"/>
      <c r="X151" s="530"/>
      <c r="AB151" s="6"/>
      <c r="AC151" s="6"/>
      <c r="AD151" s="6"/>
      <c r="AE151" s="6"/>
      <c r="AF151" s="6"/>
      <c r="AG151" s="6"/>
      <c r="AH151" s="6"/>
      <c r="AI151" s="6"/>
      <c r="AJ151" s="6"/>
      <c r="AK151" s="6"/>
      <c r="AL151" s="6"/>
      <c r="AM151" s="6"/>
      <c r="AN151" s="6"/>
      <c r="AO151" s="6"/>
      <c r="AP151" s="6"/>
      <c r="AQ151" s="6"/>
      <c r="AR151" s="6"/>
      <c r="AS151" s="6"/>
      <c r="AT151" s="6"/>
      <c r="AU151" s="6"/>
      <c r="AV151" s="6"/>
      <c r="AW151" s="6"/>
    </row>
    <row r="152" spans="21:49" ht="14.25" customHeight="1">
      <c r="U152" s="526"/>
      <c r="V152" s="529"/>
      <c r="W152" s="531"/>
      <c r="X152" s="530"/>
      <c r="AB152" s="6"/>
      <c r="AC152" s="6"/>
      <c r="AD152" s="6"/>
      <c r="AE152" s="6"/>
      <c r="AF152" s="6"/>
      <c r="AG152" s="6"/>
      <c r="AH152" s="6"/>
      <c r="AI152" s="6"/>
      <c r="AJ152" s="6"/>
      <c r="AK152" s="6"/>
      <c r="AL152" s="6"/>
      <c r="AM152" s="6"/>
      <c r="AN152" s="6"/>
      <c r="AO152" s="6"/>
      <c r="AP152" s="6"/>
      <c r="AQ152" s="6"/>
      <c r="AR152" s="6"/>
      <c r="AS152" s="6"/>
      <c r="AT152" s="6"/>
      <c r="AU152" s="6"/>
      <c r="AV152" s="6"/>
      <c r="AW152" s="6"/>
    </row>
    <row r="153" spans="21:49" ht="14.25" customHeight="1">
      <c r="U153" s="526"/>
      <c r="V153" s="529"/>
      <c r="W153" s="531"/>
      <c r="X153" s="530"/>
      <c r="AB153" s="6"/>
      <c r="AC153" s="6"/>
      <c r="AD153" s="6"/>
      <c r="AE153" s="6"/>
      <c r="AF153" s="6"/>
      <c r="AG153" s="6"/>
      <c r="AH153" s="6"/>
      <c r="AI153" s="6"/>
      <c r="AJ153" s="6"/>
      <c r="AK153" s="6"/>
      <c r="AL153" s="6"/>
      <c r="AM153" s="6"/>
      <c r="AN153" s="6"/>
      <c r="AO153" s="6"/>
      <c r="AP153" s="6"/>
      <c r="AQ153" s="6"/>
      <c r="AR153" s="6"/>
      <c r="AS153" s="6"/>
      <c r="AT153" s="6"/>
      <c r="AU153" s="6"/>
      <c r="AV153" s="6"/>
      <c r="AW153" s="6"/>
    </row>
    <row r="154" spans="21:49" ht="14.25" customHeight="1">
      <c r="U154" s="526"/>
      <c r="V154" s="529"/>
      <c r="W154" s="531"/>
      <c r="X154" s="530"/>
      <c r="AB154" s="6"/>
      <c r="AC154" s="6"/>
      <c r="AD154" s="6"/>
      <c r="AE154" s="6"/>
      <c r="AF154" s="6"/>
      <c r="AG154" s="6"/>
      <c r="AH154" s="6"/>
      <c r="AI154" s="6"/>
      <c r="AJ154" s="6"/>
      <c r="AK154" s="6"/>
      <c r="AL154" s="6"/>
      <c r="AM154" s="6"/>
      <c r="AN154" s="6"/>
      <c r="AO154" s="6"/>
      <c r="AP154" s="6"/>
      <c r="AQ154" s="6"/>
      <c r="AR154" s="6"/>
      <c r="AS154" s="6"/>
      <c r="AT154" s="6"/>
      <c r="AU154" s="6"/>
      <c r="AV154" s="6"/>
      <c r="AW154" s="6"/>
    </row>
    <row r="155" spans="21:49" ht="14.25" customHeight="1">
      <c r="U155" s="526"/>
      <c r="V155" s="529"/>
      <c r="W155" s="531"/>
      <c r="X155" s="530"/>
      <c r="AB155" s="6"/>
      <c r="AC155" s="6"/>
      <c r="AD155" s="6"/>
      <c r="AE155" s="6"/>
      <c r="AF155" s="6"/>
      <c r="AG155" s="6"/>
      <c r="AH155" s="6"/>
      <c r="AI155" s="6"/>
      <c r="AJ155" s="6"/>
      <c r="AK155" s="6"/>
      <c r="AL155" s="6"/>
      <c r="AM155" s="6"/>
      <c r="AN155" s="6"/>
      <c r="AO155" s="6"/>
      <c r="AP155" s="6"/>
      <c r="AQ155" s="6"/>
      <c r="AR155" s="6"/>
      <c r="AS155" s="6"/>
      <c r="AT155" s="6"/>
      <c r="AU155" s="6"/>
      <c r="AV155" s="6"/>
      <c r="AW155" s="6"/>
    </row>
    <row r="156" spans="21:49" ht="14.25" customHeight="1">
      <c r="U156" s="526"/>
      <c r="V156" s="529"/>
      <c r="W156" s="531"/>
      <c r="X156" s="530"/>
      <c r="AB156" s="6"/>
      <c r="AC156" s="6"/>
      <c r="AD156" s="6"/>
      <c r="AE156" s="6"/>
      <c r="AF156" s="6"/>
      <c r="AG156" s="6"/>
      <c r="AH156" s="6"/>
      <c r="AI156" s="6"/>
      <c r="AJ156" s="6"/>
      <c r="AK156" s="6"/>
      <c r="AL156" s="6"/>
      <c r="AM156" s="6"/>
      <c r="AN156" s="6"/>
      <c r="AO156" s="6"/>
      <c r="AP156" s="6"/>
      <c r="AQ156" s="6"/>
      <c r="AR156" s="6"/>
      <c r="AS156" s="6"/>
      <c r="AT156" s="6"/>
      <c r="AU156" s="6"/>
      <c r="AV156" s="6"/>
      <c r="AW156" s="6"/>
    </row>
    <row r="157" spans="21:49" ht="14.25" customHeight="1">
      <c r="U157" s="526"/>
      <c r="V157" s="529"/>
      <c r="W157" s="531"/>
      <c r="X157" s="530"/>
      <c r="AB157" s="6"/>
      <c r="AC157" s="6"/>
      <c r="AD157" s="6"/>
      <c r="AE157" s="6"/>
      <c r="AF157" s="6"/>
      <c r="AG157" s="6"/>
      <c r="AH157" s="6"/>
      <c r="AI157" s="6"/>
      <c r="AJ157" s="6"/>
      <c r="AK157" s="6"/>
      <c r="AL157" s="6"/>
      <c r="AM157" s="6"/>
      <c r="AN157" s="6"/>
      <c r="AO157" s="6"/>
      <c r="AP157" s="6"/>
      <c r="AQ157" s="6"/>
      <c r="AR157" s="6"/>
      <c r="AS157" s="6"/>
      <c r="AT157" s="6"/>
      <c r="AU157" s="6"/>
      <c r="AV157" s="6"/>
      <c r="AW157" s="6"/>
    </row>
    <row r="158" spans="28:49" ht="14.25" customHeight="1">
      <c r="AB158" s="6"/>
      <c r="AC158" s="6"/>
      <c r="AD158" s="6"/>
      <c r="AE158" s="6"/>
      <c r="AF158" s="6"/>
      <c r="AG158" s="6"/>
      <c r="AH158" s="6"/>
      <c r="AI158" s="6"/>
      <c r="AJ158" s="6"/>
      <c r="AK158" s="6"/>
      <c r="AL158" s="6"/>
      <c r="AM158" s="6"/>
      <c r="AN158" s="6"/>
      <c r="AO158" s="6"/>
      <c r="AP158" s="6"/>
      <c r="AQ158" s="6"/>
      <c r="AR158" s="6"/>
      <c r="AS158" s="6"/>
      <c r="AT158" s="6"/>
      <c r="AU158" s="6"/>
      <c r="AV158" s="6"/>
      <c r="AW158" s="6"/>
    </row>
    <row r="159" spans="18:49" ht="14.25" customHeight="1">
      <c r="R159" s="56"/>
      <c r="U159" s="531"/>
      <c r="AB159" s="6"/>
      <c r="AC159" s="6"/>
      <c r="AD159" s="6"/>
      <c r="AE159" s="6"/>
      <c r="AF159" s="6"/>
      <c r="AG159" s="6"/>
      <c r="AH159" s="6"/>
      <c r="AI159" s="6"/>
      <c r="AJ159" s="6"/>
      <c r="AK159" s="6"/>
      <c r="AL159" s="6"/>
      <c r="AM159" s="6"/>
      <c r="AN159" s="6"/>
      <c r="AO159" s="6"/>
      <c r="AP159" s="6"/>
      <c r="AQ159" s="6"/>
      <c r="AR159" s="6"/>
      <c r="AS159" s="6"/>
      <c r="AT159" s="6"/>
      <c r="AU159" s="6"/>
      <c r="AV159" s="6"/>
      <c r="AW159" s="6"/>
    </row>
    <row r="160" spans="21:49" ht="14.25" customHeight="1">
      <c r="U160" s="531"/>
      <c r="V160" s="529"/>
      <c r="W160" s="526"/>
      <c r="AB160" s="6"/>
      <c r="AC160" s="6"/>
      <c r="AD160" s="6"/>
      <c r="AE160" s="6"/>
      <c r="AF160" s="6"/>
      <c r="AG160" s="6"/>
      <c r="AH160" s="6"/>
      <c r="AI160" s="6"/>
      <c r="AJ160" s="6"/>
      <c r="AK160" s="6"/>
      <c r="AL160" s="6"/>
      <c r="AM160" s="6"/>
      <c r="AN160" s="6"/>
      <c r="AO160" s="6"/>
      <c r="AP160" s="6"/>
      <c r="AQ160" s="6"/>
      <c r="AR160" s="6"/>
      <c r="AS160" s="6"/>
      <c r="AT160" s="6"/>
      <c r="AU160" s="6"/>
      <c r="AV160" s="6"/>
      <c r="AW160" s="6"/>
    </row>
    <row r="161" spans="21:49" ht="14.25" customHeight="1">
      <c r="U161" s="531"/>
      <c r="V161" s="529"/>
      <c r="AB161" s="6"/>
      <c r="AC161" s="6"/>
      <c r="AD161" s="6"/>
      <c r="AE161" s="6"/>
      <c r="AF161" s="6"/>
      <c r="AG161" s="6"/>
      <c r="AH161" s="6"/>
      <c r="AI161" s="6"/>
      <c r="AJ161" s="6"/>
      <c r="AK161" s="6"/>
      <c r="AL161" s="6"/>
      <c r="AM161" s="6"/>
      <c r="AN161" s="6"/>
      <c r="AO161" s="6"/>
      <c r="AP161" s="6"/>
      <c r="AQ161" s="6"/>
      <c r="AR161" s="6"/>
      <c r="AS161" s="6"/>
      <c r="AT161" s="6"/>
      <c r="AU161" s="6"/>
      <c r="AV161" s="6"/>
      <c r="AW161" s="6"/>
    </row>
    <row r="162" spans="21:49" ht="14.25" customHeight="1">
      <c r="U162" s="531"/>
      <c r="V162" s="529"/>
      <c r="AB162" s="6"/>
      <c r="AC162" s="6"/>
      <c r="AD162" s="6"/>
      <c r="AE162" s="6"/>
      <c r="AF162" s="6"/>
      <c r="AG162" s="6"/>
      <c r="AH162" s="6"/>
      <c r="AI162" s="6"/>
      <c r="AJ162" s="6"/>
      <c r="AK162" s="6"/>
      <c r="AL162" s="6"/>
      <c r="AM162" s="6"/>
      <c r="AN162" s="6"/>
      <c r="AO162" s="6"/>
      <c r="AP162" s="6"/>
      <c r="AQ162" s="6"/>
      <c r="AR162" s="6"/>
      <c r="AS162" s="6"/>
      <c r="AT162" s="6"/>
      <c r="AU162" s="6"/>
      <c r="AV162" s="6"/>
      <c r="AW162" s="6"/>
    </row>
    <row r="163" spans="21:49" ht="14.25" customHeight="1">
      <c r="U163" s="531"/>
      <c r="V163" s="529"/>
      <c r="AB163" s="6"/>
      <c r="AC163" s="6"/>
      <c r="AD163" s="6"/>
      <c r="AE163" s="6"/>
      <c r="AF163" s="6"/>
      <c r="AG163" s="6"/>
      <c r="AH163" s="6"/>
      <c r="AI163" s="6"/>
      <c r="AJ163" s="6"/>
      <c r="AK163" s="6"/>
      <c r="AL163" s="6"/>
      <c r="AM163" s="6"/>
      <c r="AN163" s="6"/>
      <c r="AO163" s="6"/>
      <c r="AP163" s="6"/>
      <c r="AQ163" s="6"/>
      <c r="AR163" s="6"/>
      <c r="AS163" s="6"/>
      <c r="AT163" s="6"/>
      <c r="AU163" s="6"/>
      <c r="AV163" s="6"/>
      <c r="AW163" s="6"/>
    </row>
    <row r="164" spans="18:49" ht="14.25" customHeight="1">
      <c r="R164" s="526"/>
      <c r="U164" s="531"/>
      <c r="V164" s="529"/>
      <c r="AB164" s="6"/>
      <c r="AC164" s="6"/>
      <c r="AD164" s="6"/>
      <c r="AE164" s="6"/>
      <c r="AF164" s="6"/>
      <c r="AG164" s="6"/>
      <c r="AH164" s="6"/>
      <c r="AI164" s="6"/>
      <c r="AJ164" s="6"/>
      <c r="AK164" s="6"/>
      <c r="AL164" s="6"/>
      <c r="AM164" s="6"/>
      <c r="AN164" s="6"/>
      <c r="AO164" s="6"/>
      <c r="AP164" s="6"/>
      <c r="AQ164" s="6"/>
      <c r="AR164" s="6"/>
      <c r="AS164" s="6"/>
      <c r="AT164" s="6"/>
      <c r="AU164" s="6"/>
      <c r="AV164" s="6"/>
      <c r="AW164" s="6"/>
    </row>
    <row r="165" spans="21:49" ht="14.25" customHeight="1">
      <c r="U165" s="531"/>
      <c r="V165" s="529"/>
      <c r="AB165" s="6"/>
      <c r="AC165" s="6"/>
      <c r="AD165" s="6"/>
      <c r="AE165" s="6"/>
      <c r="AF165" s="6"/>
      <c r="AG165" s="6"/>
      <c r="AH165" s="6"/>
      <c r="AI165" s="6"/>
      <c r="AJ165" s="6"/>
      <c r="AK165" s="6"/>
      <c r="AL165" s="6"/>
      <c r="AM165" s="6"/>
      <c r="AN165" s="6"/>
      <c r="AO165" s="6"/>
      <c r="AP165" s="6"/>
      <c r="AQ165" s="6"/>
      <c r="AR165" s="6"/>
      <c r="AS165" s="6"/>
      <c r="AT165" s="6"/>
      <c r="AU165" s="6"/>
      <c r="AV165" s="6"/>
      <c r="AW165" s="6"/>
    </row>
    <row r="166" spans="21:49" ht="14.25" customHeight="1">
      <c r="U166" s="526"/>
      <c r="V166" s="529"/>
      <c r="AB166" s="6"/>
      <c r="AC166" s="6"/>
      <c r="AD166" s="6"/>
      <c r="AE166" s="6"/>
      <c r="AF166" s="6"/>
      <c r="AG166" s="6"/>
      <c r="AH166" s="6"/>
      <c r="AI166" s="6"/>
      <c r="AJ166" s="6"/>
      <c r="AK166" s="6"/>
      <c r="AL166" s="6"/>
      <c r="AM166" s="6"/>
      <c r="AN166" s="6"/>
      <c r="AO166" s="6"/>
      <c r="AP166" s="6"/>
      <c r="AQ166" s="6"/>
      <c r="AR166" s="6"/>
      <c r="AS166" s="6"/>
      <c r="AT166" s="6"/>
      <c r="AU166" s="6"/>
      <c r="AV166" s="6"/>
      <c r="AW166" s="6"/>
    </row>
    <row r="167" spans="28:49" ht="14.25" customHeight="1">
      <c r="AB167" s="6"/>
      <c r="AC167" s="6"/>
      <c r="AD167" s="6"/>
      <c r="AE167" s="6"/>
      <c r="AF167" s="6"/>
      <c r="AG167" s="6"/>
      <c r="AH167" s="6"/>
      <c r="AI167" s="6"/>
      <c r="AJ167" s="6"/>
      <c r="AK167" s="6"/>
      <c r="AL167" s="6"/>
      <c r="AM167" s="6"/>
      <c r="AN167" s="6"/>
      <c r="AO167" s="6"/>
      <c r="AP167" s="6"/>
      <c r="AQ167" s="6"/>
      <c r="AR167" s="6"/>
      <c r="AS167" s="6"/>
      <c r="AT167" s="6"/>
      <c r="AU167" s="6"/>
      <c r="AV167" s="6"/>
      <c r="AW167" s="6"/>
    </row>
    <row r="168" spans="18:49" ht="14.25" customHeight="1">
      <c r="R168" s="56"/>
      <c r="AB168" s="6"/>
      <c r="AC168" s="6"/>
      <c r="AD168" s="6"/>
      <c r="AE168" s="6"/>
      <c r="AF168" s="6"/>
      <c r="AG168" s="6"/>
      <c r="AH168" s="6"/>
      <c r="AI168" s="6"/>
      <c r="AJ168" s="6"/>
      <c r="AK168" s="6"/>
      <c r="AL168" s="6"/>
      <c r="AM168" s="6"/>
      <c r="AN168" s="6"/>
      <c r="AO168" s="6"/>
      <c r="AP168" s="6"/>
      <c r="AQ168" s="6"/>
      <c r="AR168" s="6"/>
      <c r="AS168" s="6"/>
      <c r="AT168" s="6"/>
      <c r="AU168" s="6"/>
      <c r="AV168" s="6"/>
      <c r="AW168" s="6"/>
    </row>
    <row r="169" spans="21:49" ht="14.25" customHeight="1">
      <c r="U169" s="531"/>
      <c r="V169" s="529"/>
      <c r="AB169" s="6"/>
      <c r="AC169" s="6"/>
      <c r="AD169" s="6"/>
      <c r="AE169" s="6"/>
      <c r="AF169" s="6"/>
      <c r="AG169" s="6"/>
      <c r="AH169" s="6"/>
      <c r="AI169" s="6"/>
      <c r="AJ169" s="6"/>
      <c r="AK169" s="6"/>
      <c r="AL169" s="6"/>
      <c r="AM169" s="6"/>
      <c r="AN169" s="6"/>
      <c r="AO169" s="6"/>
      <c r="AP169" s="6"/>
      <c r="AQ169" s="6"/>
      <c r="AR169" s="6"/>
      <c r="AS169" s="6"/>
      <c r="AT169" s="6"/>
      <c r="AU169" s="6"/>
      <c r="AV169" s="6"/>
      <c r="AW169" s="6"/>
    </row>
    <row r="170" spans="21:49" ht="14.25" customHeight="1">
      <c r="U170" s="531"/>
      <c r="V170" s="529"/>
      <c r="AB170" s="6"/>
      <c r="AC170" s="6"/>
      <c r="AD170" s="6"/>
      <c r="AE170" s="6"/>
      <c r="AF170" s="6"/>
      <c r="AG170" s="6"/>
      <c r="AH170" s="6"/>
      <c r="AI170" s="6"/>
      <c r="AJ170" s="6"/>
      <c r="AK170" s="6"/>
      <c r="AL170" s="6"/>
      <c r="AM170" s="6"/>
      <c r="AN170" s="6"/>
      <c r="AO170" s="6"/>
      <c r="AP170" s="6"/>
      <c r="AQ170" s="6"/>
      <c r="AR170" s="6"/>
      <c r="AS170" s="6"/>
      <c r="AT170" s="6"/>
      <c r="AU170" s="6"/>
      <c r="AV170" s="6"/>
      <c r="AW170" s="6"/>
    </row>
    <row r="171" spans="21:49" ht="14.25" customHeight="1">
      <c r="U171" s="531"/>
      <c r="V171" s="529"/>
      <c r="AB171" s="6"/>
      <c r="AC171" s="6"/>
      <c r="AD171" s="6"/>
      <c r="AE171" s="6"/>
      <c r="AF171" s="6"/>
      <c r="AG171" s="6"/>
      <c r="AH171" s="6"/>
      <c r="AI171" s="6"/>
      <c r="AJ171" s="6"/>
      <c r="AK171" s="6"/>
      <c r="AL171" s="6"/>
      <c r="AM171" s="6"/>
      <c r="AN171" s="6"/>
      <c r="AO171" s="6"/>
      <c r="AP171" s="6"/>
      <c r="AQ171" s="6"/>
      <c r="AR171" s="6"/>
      <c r="AS171" s="6"/>
      <c r="AT171" s="6"/>
      <c r="AU171" s="6"/>
      <c r="AV171" s="6"/>
      <c r="AW171" s="6"/>
    </row>
    <row r="172" spans="21:49" ht="14.25" customHeight="1">
      <c r="U172" s="531"/>
      <c r="V172" s="529"/>
      <c r="AB172" s="6"/>
      <c r="AC172" s="6"/>
      <c r="AD172" s="6"/>
      <c r="AE172" s="6"/>
      <c r="AF172" s="6"/>
      <c r="AG172" s="6"/>
      <c r="AH172" s="6"/>
      <c r="AI172" s="6"/>
      <c r="AJ172" s="6"/>
      <c r="AK172" s="6"/>
      <c r="AL172" s="6"/>
      <c r="AM172" s="6"/>
      <c r="AN172" s="6"/>
      <c r="AO172" s="6"/>
      <c r="AP172" s="6"/>
      <c r="AQ172" s="6"/>
      <c r="AR172" s="6"/>
      <c r="AS172" s="6"/>
      <c r="AT172" s="6"/>
      <c r="AU172" s="6"/>
      <c r="AV172" s="6"/>
      <c r="AW172" s="6"/>
    </row>
    <row r="173" spans="21:49" ht="14.25" customHeight="1">
      <c r="U173" s="531"/>
      <c r="V173" s="529"/>
      <c r="AB173" s="6"/>
      <c r="AC173" s="6"/>
      <c r="AD173" s="6"/>
      <c r="AE173" s="6"/>
      <c r="AF173" s="6"/>
      <c r="AG173" s="6"/>
      <c r="AH173" s="6"/>
      <c r="AI173" s="6"/>
      <c r="AJ173" s="6"/>
      <c r="AK173" s="6"/>
      <c r="AL173" s="6"/>
      <c r="AM173" s="6"/>
      <c r="AN173" s="6"/>
      <c r="AO173" s="6"/>
      <c r="AP173" s="6"/>
      <c r="AQ173" s="6"/>
      <c r="AR173" s="6"/>
      <c r="AS173" s="6"/>
      <c r="AT173" s="6"/>
      <c r="AU173" s="6"/>
      <c r="AV173" s="6"/>
      <c r="AW173" s="6"/>
    </row>
    <row r="174" spans="21:49" ht="14.25" customHeight="1">
      <c r="U174" s="531"/>
      <c r="V174" s="529"/>
      <c r="AB174" s="6"/>
      <c r="AC174" s="6"/>
      <c r="AD174" s="6"/>
      <c r="AE174" s="6"/>
      <c r="AF174" s="6"/>
      <c r="AG174" s="6"/>
      <c r="AH174" s="6"/>
      <c r="AI174" s="6"/>
      <c r="AJ174" s="6"/>
      <c r="AK174" s="6"/>
      <c r="AL174" s="6"/>
      <c r="AM174" s="6"/>
      <c r="AN174" s="6"/>
      <c r="AO174" s="6"/>
      <c r="AP174" s="6"/>
      <c r="AQ174" s="6"/>
      <c r="AR174" s="6"/>
      <c r="AS174" s="6"/>
      <c r="AT174" s="6"/>
      <c r="AU174" s="6"/>
      <c r="AV174" s="6"/>
      <c r="AW174" s="6"/>
    </row>
    <row r="175" spans="22:49" ht="14.25" customHeight="1">
      <c r="V175" s="529"/>
      <c r="AB175" s="6"/>
      <c r="AC175" s="6"/>
      <c r="AD175" s="6"/>
      <c r="AE175" s="6"/>
      <c r="AF175" s="6"/>
      <c r="AG175" s="6"/>
      <c r="AH175" s="6"/>
      <c r="AI175" s="6"/>
      <c r="AJ175" s="6"/>
      <c r="AK175" s="6"/>
      <c r="AL175" s="6"/>
      <c r="AM175" s="6"/>
      <c r="AN175" s="6"/>
      <c r="AO175" s="6"/>
      <c r="AP175" s="6"/>
      <c r="AQ175" s="6"/>
      <c r="AR175" s="6"/>
      <c r="AS175" s="6"/>
      <c r="AT175" s="6"/>
      <c r="AU175" s="6"/>
      <c r="AV175" s="6"/>
      <c r="AW175" s="6"/>
    </row>
    <row r="176" spans="28:49" ht="14.25" customHeight="1">
      <c r="AB176" s="6"/>
      <c r="AC176" s="6"/>
      <c r="AD176" s="6"/>
      <c r="AE176" s="6"/>
      <c r="AF176" s="6"/>
      <c r="AG176" s="6"/>
      <c r="AH176" s="6"/>
      <c r="AI176" s="6"/>
      <c r="AJ176" s="6"/>
      <c r="AK176" s="6"/>
      <c r="AL176" s="6"/>
      <c r="AM176" s="6"/>
      <c r="AN176" s="6"/>
      <c r="AO176" s="6"/>
      <c r="AP176" s="6"/>
      <c r="AQ176" s="6"/>
      <c r="AR176" s="6"/>
      <c r="AS176" s="6"/>
      <c r="AT176" s="6"/>
      <c r="AU176" s="6"/>
      <c r="AV176" s="6"/>
      <c r="AW176" s="6"/>
    </row>
    <row r="177" spans="18:49" ht="14.25" customHeight="1">
      <c r="R177" s="56"/>
      <c r="AB177" s="6"/>
      <c r="AC177" s="6"/>
      <c r="AD177" s="6"/>
      <c r="AE177" s="6"/>
      <c r="AF177" s="6"/>
      <c r="AG177" s="6"/>
      <c r="AH177" s="6"/>
      <c r="AI177" s="6"/>
      <c r="AJ177" s="6"/>
      <c r="AK177" s="6"/>
      <c r="AL177" s="6"/>
      <c r="AM177" s="6"/>
      <c r="AN177" s="6"/>
      <c r="AO177" s="6"/>
      <c r="AP177" s="6"/>
      <c r="AQ177" s="6"/>
      <c r="AR177" s="6"/>
      <c r="AS177" s="6"/>
      <c r="AT177" s="6"/>
      <c r="AU177" s="6"/>
      <c r="AV177" s="6"/>
      <c r="AW177" s="6"/>
    </row>
    <row r="178" spans="21:49" ht="14.25" customHeight="1">
      <c r="U178" s="531"/>
      <c r="V178" s="529"/>
      <c r="AB178" s="6"/>
      <c r="AC178" s="6"/>
      <c r="AD178" s="6"/>
      <c r="AE178" s="6"/>
      <c r="AF178" s="6"/>
      <c r="AG178" s="6"/>
      <c r="AH178" s="6"/>
      <c r="AI178" s="6"/>
      <c r="AJ178" s="6"/>
      <c r="AK178" s="6"/>
      <c r="AL178" s="6"/>
      <c r="AM178" s="6"/>
      <c r="AN178" s="6"/>
      <c r="AO178" s="6"/>
      <c r="AP178" s="6"/>
      <c r="AQ178" s="6"/>
      <c r="AR178" s="6"/>
      <c r="AS178" s="6"/>
      <c r="AT178" s="6"/>
      <c r="AU178" s="6"/>
      <c r="AV178" s="6"/>
      <c r="AW178" s="6"/>
    </row>
    <row r="179" spans="21:49" ht="14.25" customHeight="1">
      <c r="U179" s="531"/>
      <c r="V179" s="529"/>
      <c r="AB179" s="6"/>
      <c r="AC179" s="6"/>
      <c r="AD179" s="6"/>
      <c r="AE179" s="6"/>
      <c r="AF179" s="6"/>
      <c r="AG179" s="6"/>
      <c r="AH179" s="6"/>
      <c r="AI179" s="6"/>
      <c r="AJ179" s="6"/>
      <c r="AK179" s="6"/>
      <c r="AL179" s="6"/>
      <c r="AM179" s="6"/>
      <c r="AN179" s="6"/>
      <c r="AO179" s="6"/>
      <c r="AP179" s="6"/>
      <c r="AQ179" s="6"/>
      <c r="AR179" s="6"/>
      <c r="AS179" s="6"/>
      <c r="AT179" s="6"/>
      <c r="AU179" s="6"/>
      <c r="AV179" s="6"/>
      <c r="AW179" s="6"/>
    </row>
    <row r="180" spans="21:49" ht="14.25" customHeight="1">
      <c r="U180" s="531"/>
      <c r="V180" s="529"/>
      <c r="AB180" s="6"/>
      <c r="AC180" s="6"/>
      <c r="AD180" s="6"/>
      <c r="AE180" s="6"/>
      <c r="AF180" s="6"/>
      <c r="AG180" s="6"/>
      <c r="AH180" s="6"/>
      <c r="AI180" s="6"/>
      <c r="AJ180" s="6"/>
      <c r="AK180" s="6"/>
      <c r="AL180" s="6"/>
      <c r="AM180" s="6"/>
      <c r="AN180" s="6"/>
      <c r="AO180" s="6"/>
      <c r="AP180" s="6"/>
      <c r="AQ180" s="6"/>
      <c r="AR180" s="6"/>
      <c r="AS180" s="6"/>
      <c r="AT180" s="6"/>
      <c r="AU180" s="6"/>
      <c r="AV180" s="6"/>
      <c r="AW180" s="6"/>
    </row>
    <row r="181" spans="21:49" ht="14.25" customHeight="1">
      <c r="U181" s="531"/>
      <c r="V181" s="529"/>
      <c r="AB181" s="6"/>
      <c r="AC181" s="6"/>
      <c r="AD181" s="6"/>
      <c r="AE181" s="6"/>
      <c r="AF181" s="6"/>
      <c r="AG181" s="6"/>
      <c r="AH181" s="6"/>
      <c r="AI181" s="6"/>
      <c r="AJ181" s="6"/>
      <c r="AK181" s="6"/>
      <c r="AL181" s="6"/>
      <c r="AM181" s="6"/>
      <c r="AN181" s="6"/>
      <c r="AO181" s="6"/>
      <c r="AP181" s="6"/>
      <c r="AQ181" s="6"/>
      <c r="AR181" s="6"/>
      <c r="AS181" s="6"/>
      <c r="AT181" s="6"/>
      <c r="AU181" s="6"/>
      <c r="AV181" s="6"/>
      <c r="AW181" s="6"/>
    </row>
    <row r="182" spans="21:49" ht="14.25" customHeight="1">
      <c r="U182" s="531"/>
      <c r="V182" s="529"/>
      <c r="AB182" s="6"/>
      <c r="AC182" s="6"/>
      <c r="AD182" s="6"/>
      <c r="AE182" s="6"/>
      <c r="AF182" s="6"/>
      <c r="AG182" s="6"/>
      <c r="AH182" s="6"/>
      <c r="AI182" s="6"/>
      <c r="AJ182" s="6"/>
      <c r="AK182" s="6"/>
      <c r="AL182" s="6"/>
      <c r="AM182" s="6"/>
      <c r="AN182" s="6"/>
      <c r="AO182" s="6"/>
      <c r="AP182" s="6"/>
      <c r="AQ182" s="6"/>
      <c r="AR182" s="6"/>
      <c r="AS182" s="6"/>
      <c r="AT182" s="6"/>
      <c r="AU182" s="6"/>
      <c r="AV182" s="6"/>
      <c r="AW182" s="6"/>
    </row>
    <row r="183" spans="21:49" ht="14.25" customHeight="1">
      <c r="U183" s="531"/>
      <c r="V183" s="529"/>
      <c r="AB183" s="6"/>
      <c r="AC183" s="6"/>
      <c r="AD183" s="6"/>
      <c r="AE183" s="6"/>
      <c r="AF183" s="6"/>
      <c r="AG183" s="6"/>
      <c r="AH183" s="6"/>
      <c r="AI183" s="6"/>
      <c r="AJ183" s="6"/>
      <c r="AK183" s="6"/>
      <c r="AL183" s="6"/>
      <c r="AM183" s="6"/>
      <c r="AN183" s="6"/>
      <c r="AO183" s="6"/>
      <c r="AP183" s="6"/>
      <c r="AQ183" s="6"/>
      <c r="AR183" s="6"/>
      <c r="AS183" s="6"/>
      <c r="AT183" s="6"/>
      <c r="AU183" s="6"/>
      <c r="AV183" s="6"/>
      <c r="AW183" s="6"/>
    </row>
    <row r="184" spans="21:49" ht="14.25" customHeight="1">
      <c r="U184" s="526"/>
      <c r="V184" s="529"/>
      <c r="AB184" s="6"/>
      <c r="AC184" s="6"/>
      <c r="AD184" s="6"/>
      <c r="AE184" s="6"/>
      <c r="AF184" s="6"/>
      <c r="AG184" s="6"/>
      <c r="AH184" s="6"/>
      <c r="AI184" s="6"/>
      <c r="AJ184" s="6"/>
      <c r="AK184" s="6"/>
      <c r="AL184" s="6"/>
      <c r="AM184" s="6"/>
      <c r="AN184" s="6"/>
      <c r="AO184" s="6"/>
      <c r="AP184" s="6"/>
      <c r="AQ184" s="6"/>
      <c r="AR184" s="6"/>
      <c r="AS184" s="6"/>
      <c r="AT184" s="6"/>
      <c r="AU184" s="6"/>
      <c r="AV184" s="6"/>
      <c r="AW184" s="6"/>
    </row>
    <row r="185" spans="28:49" ht="14.25" customHeight="1">
      <c r="AB185" s="6"/>
      <c r="AC185" s="6"/>
      <c r="AD185" s="6"/>
      <c r="AE185" s="6"/>
      <c r="AF185" s="6"/>
      <c r="AG185" s="6"/>
      <c r="AH185" s="6"/>
      <c r="AI185" s="6"/>
      <c r="AJ185" s="6"/>
      <c r="AK185" s="6"/>
      <c r="AL185" s="6"/>
      <c r="AM185" s="6"/>
      <c r="AN185" s="6"/>
      <c r="AO185" s="6"/>
      <c r="AP185" s="6"/>
      <c r="AQ185" s="6"/>
      <c r="AR185" s="6"/>
      <c r="AS185" s="6"/>
      <c r="AT185" s="6"/>
      <c r="AU185" s="6"/>
      <c r="AV185" s="6"/>
      <c r="AW185" s="6"/>
    </row>
    <row r="186" spans="18:49" ht="14.25" customHeight="1">
      <c r="R186" s="56"/>
      <c r="U186" s="531"/>
      <c r="AB186" s="6"/>
      <c r="AC186" s="6"/>
      <c r="AD186" s="6"/>
      <c r="AE186" s="6"/>
      <c r="AF186" s="6"/>
      <c r="AG186" s="6"/>
      <c r="AH186" s="6"/>
      <c r="AI186" s="6"/>
      <c r="AJ186" s="6"/>
      <c r="AK186" s="6"/>
      <c r="AL186" s="6"/>
      <c r="AM186" s="6"/>
      <c r="AN186" s="6"/>
      <c r="AO186" s="6"/>
      <c r="AP186" s="6"/>
      <c r="AQ186" s="6"/>
      <c r="AR186" s="6"/>
      <c r="AS186" s="6"/>
      <c r="AT186" s="6"/>
      <c r="AU186" s="6"/>
      <c r="AV186" s="6"/>
      <c r="AW186" s="6"/>
    </row>
    <row r="187" spans="21:49" ht="14.25" customHeight="1">
      <c r="U187" s="531"/>
      <c r="V187" s="529"/>
      <c r="AB187" s="6"/>
      <c r="AC187" s="6"/>
      <c r="AD187" s="6"/>
      <c r="AE187" s="6"/>
      <c r="AF187" s="6"/>
      <c r="AG187" s="6"/>
      <c r="AH187" s="6"/>
      <c r="AI187" s="6"/>
      <c r="AJ187" s="6"/>
      <c r="AK187" s="6"/>
      <c r="AL187" s="6"/>
      <c r="AM187" s="6"/>
      <c r="AN187" s="6"/>
      <c r="AO187" s="6"/>
      <c r="AP187" s="6"/>
      <c r="AQ187" s="6"/>
      <c r="AR187" s="6"/>
      <c r="AS187" s="6"/>
      <c r="AT187" s="6"/>
      <c r="AU187" s="6"/>
      <c r="AV187" s="6"/>
      <c r="AW187" s="6"/>
    </row>
    <row r="188" spans="21:49" ht="14.25" customHeight="1">
      <c r="U188" s="531"/>
      <c r="V188" s="529"/>
      <c r="AB188" s="6"/>
      <c r="AC188" s="6"/>
      <c r="AD188" s="6"/>
      <c r="AE188" s="6"/>
      <c r="AF188" s="6"/>
      <c r="AG188" s="6"/>
      <c r="AH188" s="6"/>
      <c r="AI188" s="6"/>
      <c r="AJ188" s="6"/>
      <c r="AK188" s="6"/>
      <c r="AL188" s="6"/>
      <c r="AM188" s="6"/>
      <c r="AN188" s="6"/>
      <c r="AO188" s="6"/>
      <c r="AP188" s="6"/>
      <c r="AQ188" s="6"/>
      <c r="AR188" s="6"/>
      <c r="AS188" s="6"/>
      <c r="AT188" s="6"/>
      <c r="AU188" s="6"/>
      <c r="AV188" s="6"/>
      <c r="AW188" s="6"/>
    </row>
    <row r="189" spans="21:49" ht="14.25" customHeight="1">
      <c r="U189" s="531"/>
      <c r="V189" s="529"/>
      <c r="AB189" s="6"/>
      <c r="AC189" s="6"/>
      <c r="AD189" s="6"/>
      <c r="AE189" s="6"/>
      <c r="AF189" s="6"/>
      <c r="AG189" s="6"/>
      <c r="AH189" s="6"/>
      <c r="AI189" s="6"/>
      <c r="AJ189" s="6"/>
      <c r="AK189" s="6"/>
      <c r="AL189" s="6"/>
      <c r="AM189" s="6"/>
      <c r="AN189" s="6"/>
      <c r="AO189" s="6"/>
      <c r="AP189" s="6"/>
      <c r="AQ189" s="6"/>
      <c r="AR189" s="6"/>
      <c r="AS189" s="6"/>
      <c r="AT189" s="6"/>
      <c r="AU189" s="6"/>
      <c r="AV189" s="6"/>
      <c r="AW189" s="6"/>
    </row>
    <row r="190" spans="21:49" ht="14.25" customHeight="1">
      <c r="U190" s="531"/>
      <c r="V190" s="529"/>
      <c r="AB190" s="6"/>
      <c r="AC190" s="6"/>
      <c r="AD190" s="6"/>
      <c r="AE190" s="6"/>
      <c r="AF190" s="6"/>
      <c r="AG190" s="6"/>
      <c r="AH190" s="6"/>
      <c r="AI190" s="6"/>
      <c r="AJ190" s="6"/>
      <c r="AK190" s="6"/>
      <c r="AL190" s="6"/>
      <c r="AM190" s="6"/>
      <c r="AN190" s="6"/>
      <c r="AO190" s="6"/>
      <c r="AP190" s="6"/>
      <c r="AQ190" s="6"/>
      <c r="AR190" s="6"/>
      <c r="AS190" s="6"/>
      <c r="AT190" s="6"/>
      <c r="AU190" s="6"/>
      <c r="AV190" s="6"/>
      <c r="AW190" s="6"/>
    </row>
    <row r="191" spans="21:49" ht="14.25" customHeight="1">
      <c r="U191" s="531"/>
      <c r="V191" s="529"/>
      <c r="AB191" s="6"/>
      <c r="AC191" s="6"/>
      <c r="AD191" s="6"/>
      <c r="AE191" s="6"/>
      <c r="AF191" s="6"/>
      <c r="AG191" s="6"/>
      <c r="AH191" s="6"/>
      <c r="AI191" s="6"/>
      <c r="AJ191" s="6"/>
      <c r="AK191" s="6"/>
      <c r="AL191" s="6"/>
      <c r="AM191" s="6"/>
      <c r="AN191" s="6"/>
      <c r="AO191" s="6"/>
      <c r="AP191" s="6"/>
      <c r="AQ191" s="6"/>
      <c r="AR191" s="6"/>
      <c r="AS191" s="6"/>
      <c r="AT191" s="6"/>
      <c r="AU191" s="6"/>
      <c r="AV191" s="6"/>
      <c r="AW191" s="6"/>
    </row>
    <row r="192" spans="21:49" ht="14.25" customHeight="1">
      <c r="U192" s="531"/>
      <c r="V192" s="529"/>
      <c r="AB192" s="6"/>
      <c r="AC192" s="6"/>
      <c r="AD192" s="6"/>
      <c r="AE192" s="6"/>
      <c r="AF192" s="6"/>
      <c r="AG192" s="6"/>
      <c r="AH192" s="6"/>
      <c r="AI192" s="6"/>
      <c r="AJ192" s="6"/>
      <c r="AK192" s="6"/>
      <c r="AL192" s="6"/>
      <c r="AM192" s="6"/>
      <c r="AN192" s="6"/>
      <c r="AO192" s="6"/>
      <c r="AP192" s="6"/>
      <c r="AQ192" s="6"/>
      <c r="AR192" s="6"/>
      <c r="AS192" s="6"/>
      <c r="AT192" s="6"/>
      <c r="AU192" s="6"/>
      <c r="AV192" s="6"/>
      <c r="AW192" s="6"/>
    </row>
    <row r="193" spans="21:49" ht="14.25" customHeight="1">
      <c r="U193" s="531"/>
      <c r="V193" s="529"/>
      <c r="AB193" s="6"/>
      <c r="AC193" s="6"/>
      <c r="AD193" s="6"/>
      <c r="AE193" s="6"/>
      <c r="AF193" s="6"/>
      <c r="AG193" s="6"/>
      <c r="AH193" s="6"/>
      <c r="AI193" s="6"/>
      <c r="AJ193" s="6"/>
      <c r="AK193" s="6"/>
      <c r="AL193" s="6"/>
      <c r="AM193" s="6"/>
      <c r="AN193" s="6"/>
      <c r="AO193" s="6"/>
      <c r="AP193" s="6"/>
      <c r="AQ193" s="6"/>
      <c r="AR193" s="6"/>
      <c r="AS193" s="6"/>
      <c r="AT193" s="6"/>
      <c r="AU193" s="6"/>
      <c r="AV193" s="6"/>
      <c r="AW193" s="6"/>
    </row>
    <row r="194" spans="22:49" ht="14.25" customHeight="1">
      <c r="V194" s="529"/>
      <c r="AB194" s="6"/>
      <c r="AC194" s="6"/>
      <c r="AD194" s="6"/>
      <c r="AE194" s="6"/>
      <c r="AF194" s="6"/>
      <c r="AG194" s="6"/>
      <c r="AH194" s="6"/>
      <c r="AI194" s="6"/>
      <c r="AJ194" s="6"/>
      <c r="AK194" s="6"/>
      <c r="AL194" s="6"/>
      <c r="AM194" s="6"/>
      <c r="AN194" s="6"/>
      <c r="AO194" s="6"/>
      <c r="AP194" s="6"/>
      <c r="AQ194" s="6"/>
      <c r="AR194" s="6"/>
      <c r="AS194" s="6"/>
      <c r="AT194" s="6"/>
      <c r="AU194" s="6"/>
      <c r="AV194" s="6"/>
      <c r="AW194" s="6"/>
    </row>
    <row r="195" spans="18:49" ht="14.25" customHeight="1">
      <c r="R195" s="56"/>
      <c r="U195" s="531"/>
      <c r="AB195" s="6"/>
      <c r="AC195" s="6"/>
      <c r="AD195" s="6"/>
      <c r="AE195" s="6"/>
      <c r="AF195" s="6"/>
      <c r="AG195" s="6"/>
      <c r="AH195" s="6"/>
      <c r="AI195" s="6"/>
      <c r="AJ195" s="6"/>
      <c r="AK195" s="6"/>
      <c r="AL195" s="6"/>
      <c r="AM195" s="6"/>
      <c r="AN195" s="6"/>
      <c r="AO195" s="6"/>
      <c r="AP195" s="6"/>
      <c r="AQ195" s="6"/>
      <c r="AR195" s="6"/>
      <c r="AS195" s="6"/>
      <c r="AT195" s="6"/>
      <c r="AU195" s="6"/>
      <c r="AV195" s="6"/>
      <c r="AW195" s="6"/>
    </row>
    <row r="196" spans="18:22" ht="14.25" customHeight="1">
      <c r="R196" s="526"/>
      <c r="U196" s="531"/>
      <c r="V196" s="529"/>
    </row>
    <row r="197" spans="21:22" ht="14.25" customHeight="1">
      <c r="U197" s="531"/>
      <c r="V197" s="529"/>
    </row>
    <row r="198" spans="21:22" ht="14.25" customHeight="1">
      <c r="U198" s="531"/>
      <c r="V198" s="529"/>
    </row>
    <row r="199" spans="21:22" ht="14.25" customHeight="1">
      <c r="U199" s="531"/>
      <c r="V199" s="529"/>
    </row>
    <row r="200" spans="21:22" ht="14.25" customHeight="1">
      <c r="U200" s="531"/>
      <c r="V200" s="529"/>
    </row>
    <row r="201" spans="21:22" ht="14.25" customHeight="1">
      <c r="U201" s="531"/>
      <c r="V201" s="529"/>
    </row>
    <row r="202" spans="21:22" ht="14.25" customHeight="1">
      <c r="U202" s="531"/>
      <c r="V202" s="529"/>
    </row>
    <row r="205" spans="18:21" ht="14.25" customHeight="1">
      <c r="R205" s="56"/>
      <c r="U205" s="531"/>
    </row>
    <row r="206" spans="21:22" ht="14.25" customHeight="1">
      <c r="U206" s="531"/>
      <c r="V206" s="526"/>
    </row>
    <row r="207" spans="21:22" ht="14.25" customHeight="1">
      <c r="U207" s="531"/>
      <c r="V207" s="526"/>
    </row>
    <row r="208" spans="21:22" ht="14.25" customHeight="1">
      <c r="U208" s="531"/>
      <c r="V208" s="526"/>
    </row>
    <row r="209" spans="21:22" ht="14.25" customHeight="1">
      <c r="U209" s="531"/>
      <c r="V209" s="526"/>
    </row>
    <row r="210" spans="21:22" ht="14.25" customHeight="1">
      <c r="U210" s="531"/>
      <c r="V210" s="526"/>
    </row>
    <row r="211" spans="21:22" ht="14.25" customHeight="1">
      <c r="U211" s="531"/>
      <c r="V211" s="526"/>
    </row>
    <row r="212" spans="18:22" ht="14.25" customHeight="1">
      <c r="R212" s="526"/>
      <c r="U212" s="531"/>
      <c r="V212" s="526"/>
    </row>
    <row r="214" ht="14.25" customHeight="1">
      <c r="R214" s="526"/>
    </row>
    <row r="215" spans="18:21" ht="14.25" customHeight="1">
      <c r="R215" s="56"/>
      <c r="U215" s="531"/>
    </row>
    <row r="216" spans="21:22" ht="14.25" customHeight="1">
      <c r="U216" s="531"/>
      <c r="V216" s="526"/>
    </row>
    <row r="217" spans="21:22" ht="14.25" customHeight="1">
      <c r="U217" s="531"/>
      <c r="V217" s="526"/>
    </row>
    <row r="218" spans="21:22" ht="14.25" customHeight="1">
      <c r="U218" s="531"/>
      <c r="V218" s="526"/>
    </row>
    <row r="219" spans="21:22" ht="14.25" customHeight="1">
      <c r="U219" s="531"/>
      <c r="V219" s="526"/>
    </row>
    <row r="220" spans="21:22" ht="14.25" customHeight="1">
      <c r="U220" s="531"/>
      <c r="V220" s="526"/>
    </row>
    <row r="221" spans="21:22" ht="14.25" customHeight="1">
      <c r="U221" s="531"/>
      <c r="V221" s="526"/>
    </row>
    <row r="222" spans="21:22" ht="14.25" customHeight="1">
      <c r="U222" s="531"/>
      <c r="V222" s="526"/>
    </row>
    <row r="223" ht="14.25" customHeight="1">
      <c r="U223" s="526"/>
    </row>
    <row r="224" spans="18:21" ht="14.25" customHeight="1">
      <c r="R224" s="56"/>
      <c r="U224" s="531"/>
    </row>
    <row r="225" spans="21:22" ht="14.25" customHeight="1">
      <c r="U225" s="531"/>
      <c r="V225" s="526"/>
    </row>
    <row r="226" spans="21:22" ht="14.25" customHeight="1">
      <c r="U226" s="531"/>
      <c r="V226" s="526"/>
    </row>
    <row r="227" spans="21:22" ht="14.25" customHeight="1">
      <c r="U227" s="531"/>
      <c r="V227" s="526"/>
    </row>
    <row r="228" spans="21:22" ht="14.25" customHeight="1">
      <c r="U228" s="531"/>
      <c r="V228" s="526"/>
    </row>
    <row r="229" spans="21:22" ht="14.25" customHeight="1">
      <c r="U229" s="531"/>
      <c r="V229" s="526"/>
    </row>
    <row r="230" spans="21:22" ht="14.25" customHeight="1">
      <c r="U230" s="531"/>
      <c r="V230" s="526"/>
    </row>
    <row r="231" spans="21:22" ht="14.25" customHeight="1">
      <c r="U231" s="531"/>
      <c r="V231" s="526"/>
    </row>
    <row r="233" spans="18:21" ht="14.25" customHeight="1">
      <c r="R233" s="56"/>
      <c r="U233" s="531"/>
    </row>
    <row r="234" spans="21:22" ht="14.25" customHeight="1">
      <c r="U234" s="531"/>
      <c r="V234" s="526"/>
    </row>
    <row r="235" spans="21:22" ht="14.25" customHeight="1">
      <c r="U235" s="531"/>
      <c r="V235" s="526"/>
    </row>
    <row r="236" spans="21:22" ht="14.25" customHeight="1">
      <c r="U236" s="531"/>
      <c r="V236" s="526"/>
    </row>
    <row r="237" spans="21:22" ht="14.25" customHeight="1">
      <c r="U237" s="531"/>
      <c r="V237" s="526"/>
    </row>
    <row r="238" spans="21:22" ht="14.25" customHeight="1">
      <c r="U238" s="531"/>
      <c r="V238" s="526"/>
    </row>
    <row r="239" spans="21:22" ht="14.25" customHeight="1">
      <c r="U239" s="531"/>
      <c r="V239" s="526"/>
    </row>
    <row r="240" spans="21:22" ht="14.25" customHeight="1">
      <c r="U240" s="531"/>
      <c r="V240" s="526"/>
    </row>
    <row r="241" spans="21:22" ht="14.25" customHeight="1">
      <c r="U241" s="531"/>
      <c r="V241" s="526"/>
    </row>
    <row r="242" spans="21:22" ht="14.25" customHeight="1">
      <c r="U242" s="531"/>
      <c r="V242" s="526"/>
    </row>
    <row r="243" spans="21:22" ht="14.25" customHeight="1">
      <c r="U243" s="526"/>
      <c r="V243" s="529"/>
    </row>
    <row r="244" spans="21:22" ht="14.25" customHeight="1">
      <c r="U244" s="526"/>
      <c r="V244" s="529"/>
    </row>
    <row r="245" spans="18:22" ht="14.25" customHeight="1">
      <c r="R245" s="56"/>
      <c r="U245" s="526"/>
      <c r="V245" s="529"/>
    </row>
    <row r="246" spans="21:22" ht="14.25" customHeight="1">
      <c r="U246" s="526"/>
      <c r="V246" s="529"/>
    </row>
    <row r="247" spans="21:22" ht="14.25" customHeight="1">
      <c r="U247" s="526"/>
      <c r="V247" s="529"/>
    </row>
    <row r="248" spans="21:22" ht="14.25" customHeight="1">
      <c r="U248" s="526"/>
      <c r="V248" s="529"/>
    </row>
    <row r="249" spans="21:22" ht="14.25" customHeight="1">
      <c r="U249" s="526"/>
      <c r="V249" s="529"/>
    </row>
    <row r="250" spans="21:22" ht="14.25" customHeight="1">
      <c r="U250" s="526"/>
      <c r="V250" s="529"/>
    </row>
    <row r="251" spans="21:22" ht="14.25" customHeight="1">
      <c r="U251" s="531"/>
      <c r="V251" s="526"/>
    </row>
    <row r="252" spans="21:22" ht="14.25" customHeight="1">
      <c r="U252" s="531"/>
      <c r="V252" s="526"/>
    </row>
    <row r="253" spans="21:22" ht="14.25" customHeight="1">
      <c r="U253" s="526"/>
      <c r="V253" s="529"/>
    </row>
    <row r="254" spans="21:22" ht="14.25" customHeight="1">
      <c r="U254" s="526"/>
      <c r="V254" s="529"/>
    </row>
    <row r="255" spans="18:22" ht="14.25" customHeight="1">
      <c r="R255" s="56"/>
      <c r="U255" s="526"/>
      <c r="V255" s="529"/>
    </row>
    <row r="256" spans="21:22" ht="14.25" customHeight="1">
      <c r="U256" s="526"/>
      <c r="V256" s="529"/>
    </row>
    <row r="257" spans="21:22" ht="14.25" customHeight="1">
      <c r="U257" s="526"/>
      <c r="V257" s="529"/>
    </row>
    <row r="258" spans="21:22" ht="14.25" customHeight="1">
      <c r="U258" s="526"/>
      <c r="V258" s="529"/>
    </row>
    <row r="259" spans="21:22" ht="14.25" customHeight="1">
      <c r="U259" s="526"/>
      <c r="V259" s="529"/>
    </row>
    <row r="260" spans="21:22" ht="14.25" customHeight="1">
      <c r="U260" s="526"/>
      <c r="V260" s="529"/>
    </row>
    <row r="261" spans="21:22" ht="14.25" customHeight="1">
      <c r="U261" s="531"/>
      <c r="V261" s="526"/>
    </row>
    <row r="262" spans="21:22" ht="14.25" customHeight="1">
      <c r="U262" s="531"/>
      <c r="V262" s="526"/>
    </row>
    <row r="265" spans="18:21" ht="14.25" customHeight="1">
      <c r="R265" s="56"/>
      <c r="U265" s="531"/>
    </row>
    <row r="266" spans="18:22" ht="14.25" customHeight="1">
      <c r="R266" s="56"/>
      <c r="U266" s="531"/>
      <c r="V266" s="526"/>
    </row>
    <row r="267" spans="18:22" ht="14.25" customHeight="1">
      <c r="R267" s="56"/>
      <c r="U267" s="531"/>
      <c r="V267" s="526"/>
    </row>
    <row r="268" spans="18:22" ht="14.25" customHeight="1">
      <c r="R268" s="56"/>
      <c r="U268" s="531"/>
      <c r="V268" s="526"/>
    </row>
    <row r="269" spans="18:22" ht="14.25" customHeight="1">
      <c r="R269" s="56"/>
      <c r="U269" s="531"/>
      <c r="V269" s="526"/>
    </row>
    <row r="270" spans="18:22" ht="14.25" customHeight="1">
      <c r="R270" s="56"/>
      <c r="U270" s="531"/>
      <c r="V270" s="526"/>
    </row>
    <row r="271" spans="18:22" ht="14.25" customHeight="1">
      <c r="R271" s="56"/>
      <c r="U271" s="531"/>
      <c r="V271" s="526"/>
    </row>
    <row r="272" spans="18:22" ht="14.25" customHeight="1">
      <c r="R272" s="56"/>
      <c r="U272" s="531"/>
      <c r="V272" s="526"/>
    </row>
    <row r="273" ht="14.25" customHeight="1">
      <c r="R273" s="56"/>
    </row>
    <row r="274" ht="14.25" customHeight="1">
      <c r="R274" s="56"/>
    </row>
    <row r="275" spans="18:21" ht="14.25" customHeight="1">
      <c r="R275" s="56"/>
      <c r="U275" s="531"/>
    </row>
    <row r="276" spans="18:22" ht="14.25" customHeight="1">
      <c r="R276" s="56"/>
      <c r="U276" s="531"/>
      <c r="V276" s="526"/>
    </row>
    <row r="277" spans="18:22" ht="14.25" customHeight="1">
      <c r="R277" s="56"/>
      <c r="U277" s="531"/>
      <c r="V277" s="526"/>
    </row>
    <row r="278" spans="18:22" ht="14.25" customHeight="1">
      <c r="R278" s="56"/>
      <c r="U278" s="531"/>
      <c r="V278" s="526"/>
    </row>
    <row r="279" spans="18:22" ht="14.25" customHeight="1">
      <c r="R279" s="56"/>
      <c r="U279" s="531"/>
      <c r="V279" s="526"/>
    </row>
    <row r="280" spans="18:22" ht="14.25" customHeight="1">
      <c r="R280" s="56"/>
      <c r="U280" s="531"/>
      <c r="V280" s="526"/>
    </row>
    <row r="281" spans="18:22" ht="14.25" customHeight="1">
      <c r="R281" s="56"/>
      <c r="U281" s="531"/>
      <c r="V281" s="526"/>
    </row>
    <row r="282" spans="18:22" ht="14.25" customHeight="1">
      <c r="R282" s="56"/>
      <c r="U282" s="531"/>
      <c r="V282" s="526"/>
    </row>
    <row r="283" ht="14.25" customHeight="1">
      <c r="R283" s="56"/>
    </row>
    <row r="284" ht="14.25" customHeight="1">
      <c r="R284" s="56"/>
    </row>
    <row r="285" spans="18:21" ht="14.25" customHeight="1">
      <c r="R285" s="56"/>
      <c r="U285" s="531"/>
    </row>
    <row r="286" spans="18:22" ht="14.25" customHeight="1">
      <c r="R286" s="56"/>
      <c r="U286" s="531"/>
      <c r="V286" s="526"/>
    </row>
    <row r="287" spans="18:22" ht="14.25" customHeight="1">
      <c r="R287" s="56"/>
      <c r="U287" s="531"/>
      <c r="V287" s="526"/>
    </row>
    <row r="288" spans="18:22" ht="14.25" customHeight="1">
      <c r="R288" s="56"/>
      <c r="U288" s="531"/>
      <c r="V288" s="526"/>
    </row>
    <row r="289" spans="18:22" ht="14.25" customHeight="1">
      <c r="R289" s="56"/>
      <c r="U289" s="531"/>
      <c r="V289" s="526"/>
    </row>
    <row r="290" spans="18:22" ht="14.25" customHeight="1">
      <c r="R290" s="56"/>
      <c r="U290" s="531"/>
      <c r="V290" s="526"/>
    </row>
    <row r="291" spans="18:22" ht="14.25" customHeight="1">
      <c r="R291" s="56"/>
      <c r="U291" s="531"/>
      <c r="V291" s="526"/>
    </row>
    <row r="292" spans="18:22" ht="14.25" customHeight="1">
      <c r="R292" s="56"/>
      <c r="U292" s="531"/>
      <c r="V292" s="526"/>
    </row>
    <row r="293" ht="14.25" customHeight="1">
      <c r="R293" s="56"/>
    </row>
    <row r="294" ht="14.25" customHeight="1">
      <c r="R294" s="56"/>
    </row>
    <row r="295" spans="18:21" ht="14.25" customHeight="1">
      <c r="R295" s="56"/>
      <c r="U295" s="531"/>
    </row>
    <row r="296" spans="21:22" ht="14.25" customHeight="1">
      <c r="U296" s="531"/>
      <c r="V296" s="526"/>
    </row>
    <row r="297" spans="21:22" ht="14.25" customHeight="1">
      <c r="U297" s="531"/>
      <c r="V297" s="526"/>
    </row>
    <row r="298" spans="21:22" ht="14.25" customHeight="1">
      <c r="U298" s="531"/>
      <c r="V298" s="526"/>
    </row>
    <row r="299" spans="21:22" ht="14.25" customHeight="1">
      <c r="U299" s="531"/>
      <c r="V299" s="526"/>
    </row>
    <row r="300" spans="21:22" ht="14.25" customHeight="1">
      <c r="U300" s="531"/>
      <c r="V300" s="526"/>
    </row>
    <row r="301" spans="21:22" ht="14.25" customHeight="1">
      <c r="U301" s="531"/>
      <c r="V301" s="526"/>
    </row>
    <row r="302" spans="21:22" ht="14.25" customHeight="1">
      <c r="U302" s="531"/>
      <c r="V302" s="526"/>
    </row>
    <row r="305" spans="18:21" ht="14.25" customHeight="1">
      <c r="R305" s="56"/>
      <c r="U305" s="531"/>
    </row>
    <row r="306" spans="21:22" ht="14.25" customHeight="1">
      <c r="U306" s="531"/>
      <c r="V306" s="526"/>
    </row>
    <row r="307" spans="21:22" ht="14.25" customHeight="1">
      <c r="U307" s="531"/>
      <c r="V307" s="526"/>
    </row>
    <row r="308" spans="21:22" ht="14.25" customHeight="1">
      <c r="U308" s="531"/>
      <c r="V308" s="526"/>
    </row>
    <row r="309" spans="21:22" ht="14.25" customHeight="1">
      <c r="U309" s="531"/>
      <c r="V309" s="526"/>
    </row>
    <row r="310" spans="21:22" ht="14.25" customHeight="1">
      <c r="U310" s="531"/>
      <c r="V310" s="526"/>
    </row>
    <row r="311" spans="21:22" ht="14.25" customHeight="1">
      <c r="U311" s="531"/>
      <c r="V311" s="526"/>
    </row>
    <row r="312" spans="21:22" ht="14.25" customHeight="1">
      <c r="U312" s="531"/>
      <c r="V312" s="526"/>
    </row>
    <row r="314" spans="18:21" ht="14.25" customHeight="1">
      <c r="R314" s="56"/>
      <c r="U314" s="531"/>
    </row>
    <row r="315" spans="21:22" ht="14.25" customHeight="1">
      <c r="U315" s="531"/>
      <c r="V315" s="526"/>
    </row>
    <row r="316" spans="21:22" ht="14.25" customHeight="1">
      <c r="U316" s="531"/>
      <c r="V316" s="526"/>
    </row>
    <row r="317" spans="21:22" ht="14.25" customHeight="1">
      <c r="U317" s="531"/>
      <c r="V317" s="526"/>
    </row>
    <row r="318" spans="21:22" ht="14.25" customHeight="1">
      <c r="U318" s="531"/>
      <c r="V318" s="526"/>
    </row>
    <row r="319" spans="21:22" ht="14.25" customHeight="1">
      <c r="U319" s="531"/>
      <c r="V319" s="526"/>
    </row>
    <row r="320" spans="21:22" ht="14.25" customHeight="1">
      <c r="U320" s="531"/>
      <c r="V320" s="526"/>
    </row>
    <row r="321" spans="21:22" ht="14.25" customHeight="1">
      <c r="U321" s="531"/>
      <c r="V321" s="526"/>
    </row>
    <row r="324" spans="18:21" ht="14.25" customHeight="1">
      <c r="R324" s="56"/>
      <c r="U324" s="531"/>
    </row>
    <row r="325" spans="21:22" ht="14.25" customHeight="1">
      <c r="U325" s="531"/>
      <c r="V325" s="526"/>
    </row>
    <row r="326" spans="21:22" ht="14.25" customHeight="1">
      <c r="U326" s="531"/>
      <c r="V326" s="526"/>
    </row>
    <row r="327" spans="21:22" ht="14.25" customHeight="1">
      <c r="U327" s="531"/>
      <c r="V327" s="526"/>
    </row>
    <row r="328" spans="21:22" ht="14.25" customHeight="1">
      <c r="U328" s="531"/>
      <c r="V328" s="526"/>
    </row>
    <row r="329" spans="21:22" ht="14.25" customHeight="1">
      <c r="U329" s="531"/>
      <c r="V329" s="526"/>
    </row>
    <row r="330" spans="21:22" ht="14.25" customHeight="1">
      <c r="U330" s="531"/>
      <c r="V330" s="526"/>
    </row>
    <row r="331" spans="21:22" ht="14.25" customHeight="1">
      <c r="U331" s="531"/>
      <c r="V331" s="526"/>
    </row>
    <row r="334" ht="14.25" customHeight="1">
      <c r="U334" s="531"/>
    </row>
    <row r="335" spans="21:22" ht="14.25" customHeight="1">
      <c r="U335" s="531"/>
      <c r="V335" s="526"/>
    </row>
    <row r="336" spans="21:22" ht="14.25" customHeight="1">
      <c r="U336" s="531"/>
      <c r="V336" s="526"/>
    </row>
    <row r="337" spans="21:22" ht="14.25" customHeight="1">
      <c r="U337" s="531"/>
      <c r="V337" s="526"/>
    </row>
    <row r="338" spans="21:22" ht="14.25" customHeight="1">
      <c r="U338" s="531"/>
      <c r="V338" s="526"/>
    </row>
    <row r="339" spans="21:22" ht="14.25" customHeight="1">
      <c r="U339" s="531"/>
      <c r="V339" s="526"/>
    </row>
    <row r="340" spans="21:22" ht="14.25" customHeight="1">
      <c r="U340" s="531"/>
      <c r="V340" s="526"/>
    </row>
    <row r="341" spans="21:22" ht="14.25" customHeight="1">
      <c r="U341" s="531"/>
      <c r="V341" s="526"/>
    </row>
    <row r="343" ht="14.25" customHeight="1">
      <c r="U343" s="532"/>
    </row>
    <row r="344" spans="19:20" ht="14.25" customHeight="1">
      <c r="S344" s="531"/>
      <c r="T344" s="532"/>
    </row>
    <row r="345" spans="19:20" ht="14.25" customHeight="1">
      <c r="S345" s="531"/>
      <c r="T345" s="532"/>
    </row>
    <row r="346" spans="19:20" ht="14.25" customHeight="1">
      <c r="S346" s="531"/>
      <c r="T346" s="532"/>
    </row>
    <row r="347" spans="19:20" ht="14.25" customHeight="1">
      <c r="S347" s="531"/>
      <c r="T347" s="532"/>
    </row>
    <row r="348" spans="19:20" ht="14.25" customHeight="1">
      <c r="S348" s="531"/>
      <c r="T348" s="532"/>
    </row>
    <row r="349" spans="19:20" ht="14.25" customHeight="1">
      <c r="S349" s="531"/>
      <c r="T349" s="532"/>
    </row>
    <row r="350" ht="14.25" customHeight="1">
      <c r="S350" s="531"/>
    </row>
    <row r="352" ht="14.25" customHeight="1">
      <c r="U352" s="526"/>
    </row>
    <row r="354" ht="14.25" customHeight="1">
      <c r="U354" s="532"/>
    </row>
    <row r="355" ht="14.25" customHeight="1">
      <c r="U355" s="532"/>
    </row>
    <row r="356" ht="14.25" customHeight="1">
      <c r="U356" s="532"/>
    </row>
    <row r="357" spans="21:22" ht="14.25" customHeight="1">
      <c r="U357" s="532"/>
      <c r="V357" s="533"/>
    </row>
    <row r="358" spans="21:22" ht="14.25" customHeight="1">
      <c r="U358" s="532"/>
      <c r="V358" s="533"/>
    </row>
    <row r="359" spans="21:22" ht="14.25" customHeight="1">
      <c r="U359" s="532"/>
      <c r="V359" s="533"/>
    </row>
    <row r="360" spans="21:22" ht="14.25" customHeight="1">
      <c r="U360" s="532"/>
      <c r="V360" s="533"/>
    </row>
    <row r="361" spans="21:22" ht="14.25" customHeight="1">
      <c r="U361" s="532"/>
      <c r="V361" s="533"/>
    </row>
    <row r="362" spans="21:22" ht="14.25" customHeight="1">
      <c r="U362" s="532"/>
      <c r="V362" s="533"/>
    </row>
    <row r="363" spans="21:22" ht="14.25" customHeight="1">
      <c r="U363" s="532"/>
      <c r="V363" s="533"/>
    </row>
    <row r="365" ht="14.25" customHeight="1">
      <c r="X365" s="532"/>
    </row>
    <row r="366" ht="14.25" customHeight="1">
      <c r="X366" s="532"/>
    </row>
    <row r="367" ht="14.25" customHeight="1">
      <c r="X367" s="532"/>
    </row>
    <row r="368" ht="14.25" customHeight="1">
      <c r="X368" s="532"/>
    </row>
    <row r="369" ht="14.25" customHeight="1">
      <c r="X369" s="532"/>
    </row>
    <row r="370" ht="14.25" customHeight="1">
      <c r="X370" s="532"/>
    </row>
    <row r="371" ht="14.25" customHeight="1">
      <c r="X371" s="532"/>
    </row>
    <row r="372" ht="14.25" customHeight="1">
      <c r="X372" s="532"/>
    </row>
    <row r="373" ht="14.25" customHeight="1">
      <c r="X373" s="532"/>
    </row>
    <row r="374" ht="14.25" customHeight="1">
      <c r="X374" s="532"/>
    </row>
    <row r="375" ht="14.25" customHeight="1">
      <c r="X375" s="532"/>
    </row>
    <row r="376" ht="14.25" customHeight="1">
      <c r="X376" s="532"/>
    </row>
    <row r="377" ht="14.25" customHeight="1" thickBot="1"/>
    <row r="378" spans="19:20" ht="14.25" customHeight="1" thickBot="1">
      <c r="S378" s="534"/>
      <c r="T378" s="535"/>
    </row>
    <row r="379" spans="20:25" ht="14.25" customHeight="1">
      <c r="T379" s="535"/>
      <c r="V379" s="526"/>
      <c r="X379" s="531"/>
      <c r="Y379" s="524"/>
    </row>
    <row r="380" spans="20:25" ht="14.25" customHeight="1">
      <c r="T380" s="535"/>
      <c r="V380" s="526"/>
      <c r="X380" s="531"/>
      <c r="Y380" s="524"/>
    </row>
    <row r="381" spans="20:25" ht="14.25" customHeight="1">
      <c r="T381" s="535"/>
      <c r="V381" s="526"/>
      <c r="X381" s="531"/>
      <c r="Y381" s="524"/>
    </row>
    <row r="382" spans="20:25" ht="14.25" customHeight="1">
      <c r="T382" s="535"/>
      <c r="V382" s="526"/>
      <c r="X382" s="531"/>
      <c r="Y382" s="524"/>
    </row>
    <row r="383" spans="20:25" ht="14.25" customHeight="1">
      <c r="T383" s="535"/>
      <c r="V383" s="526"/>
      <c r="X383" s="531"/>
      <c r="Y383" s="524"/>
    </row>
    <row r="384" spans="20:25" ht="14.25" customHeight="1">
      <c r="T384" s="535"/>
      <c r="V384" s="526"/>
      <c r="X384" s="531"/>
      <c r="Y384" s="524"/>
    </row>
    <row r="385" ht="14.25" customHeight="1">
      <c r="T385" s="535"/>
    </row>
    <row r="386" spans="24:25" ht="14.25" customHeight="1">
      <c r="X386" s="524"/>
      <c r="Y386" s="524"/>
    </row>
    <row r="387" spans="24:25" ht="14.25" customHeight="1">
      <c r="X387" s="524"/>
      <c r="Y387" s="524"/>
    </row>
    <row r="388" spans="24:25" ht="14.25" customHeight="1">
      <c r="X388" s="524"/>
      <c r="Y388" s="524"/>
    </row>
    <row r="389" spans="20:25" ht="14.25" customHeight="1">
      <c r="T389" s="535"/>
      <c r="U389" s="526"/>
      <c r="X389" s="524"/>
      <c r="Y389" s="524"/>
    </row>
    <row r="390" spans="20:25" ht="14.25" customHeight="1">
      <c r="T390" s="535"/>
      <c r="U390" s="526"/>
      <c r="X390" s="524"/>
      <c r="Y390" s="524"/>
    </row>
    <row r="391" spans="20:25" ht="14.25" customHeight="1">
      <c r="T391" s="535"/>
      <c r="U391" s="526"/>
      <c r="X391" s="524"/>
      <c r="Y391" s="524"/>
    </row>
    <row r="392" spans="20:21" ht="14.25" customHeight="1">
      <c r="T392" s="535"/>
      <c r="U392" s="526"/>
    </row>
    <row r="393" spans="20:21" ht="14.25" customHeight="1">
      <c r="T393" s="535"/>
      <c r="U393" s="526"/>
    </row>
    <row r="394" spans="20:23" ht="14.25" customHeight="1">
      <c r="T394" s="535"/>
      <c r="U394" s="526"/>
      <c r="W394" s="404"/>
    </row>
    <row r="395" ht="14.25" customHeight="1">
      <c r="T395" s="535"/>
    </row>
    <row r="401" ht="14.25" customHeight="1">
      <c r="V401" s="404"/>
    </row>
    <row r="403" ht="14.25" customHeight="1" thickBot="1"/>
    <row r="404" ht="14.25" customHeight="1" thickBot="1">
      <c r="V404" s="536"/>
    </row>
  </sheetData>
  <sheetProtection password="C61F" sheet="1" formatRows="0"/>
  <autoFilter ref="A15:AA127"/>
  <mergeCells count="172">
    <mergeCell ref="X112:X127"/>
    <mergeCell ref="Y112:Y127"/>
    <mergeCell ref="Z112:Z119"/>
    <mergeCell ref="AA112:AA127"/>
    <mergeCell ref="Z120:Z127"/>
    <mergeCell ref="R112:R127"/>
    <mergeCell ref="S112:S127"/>
    <mergeCell ref="T112:T127"/>
    <mergeCell ref="U112:U127"/>
    <mergeCell ref="V112:V127"/>
    <mergeCell ref="W112:W127"/>
    <mergeCell ref="AA96:AA111"/>
    <mergeCell ref="H112:H127"/>
    <mergeCell ref="I112:I127"/>
    <mergeCell ref="J112:J127"/>
    <mergeCell ref="K112:K127"/>
    <mergeCell ref="M112:M127"/>
    <mergeCell ref="N112:N127"/>
    <mergeCell ref="O112:O127"/>
    <mergeCell ref="P112:P127"/>
    <mergeCell ref="Q112:Q127"/>
    <mergeCell ref="U96:U111"/>
    <mergeCell ref="V96:V111"/>
    <mergeCell ref="W96:W111"/>
    <mergeCell ref="X96:X111"/>
    <mergeCell ref="Y96:Y111"/>
    <mergeCell ref="Z96:Z111"/>
    <mergeCell ref="O96:O111"/>
    <mergeCell ref="P96:P111"/>
    <mergeCell ref="Q96:Q111"/>
    <mergeCell ref="R96:R111"/>
    <mergeCell ref="S96:S111"/>
    <mergeCell ref="T96:T111"/>
    <mergeCell ref="AA80:AA83"/>
    <mergeCell ref="AA84:AA87"/>
    <mergeCell ref="AA88:AA91"/>
    <mergeCell ref="AA92:AA95"/>
    <mergeCell ref="H96:H111"/>
    <mergeCell ref="I96:I111"/>
    <mergeCell ref="J96:J111"/>
    <mergeCell ref="K96:K111"/>
    <mergeCell ref="M96:M111"/>
    <mergeCell ref="N96:N111"/>
    <mergeCell ref="U80:U95"/>
    <mergeCell ref="V80:V95"/>
    <mergeCell ref="W80:W95"/>
    <mergeCell ref="X80:X95"/>
    <mergeCell ref="Y80:Y95"/>
    <mergeCell ref="Z80:Z95"/>
    <mergeCell ref="O80:O95"/>
    <mergeCell ref="P80:P95"/>
    <mergeCell ref="Q80:Q95"/>
    <mergeCell ref="R80:R95"/>
    <mergeCell ref="S80:S95"/>
    <mergeCell ref="T80:T95"/>
    <mergeCell ref="H80:H95"/>
    <mergeCell ref="I80:I95"/>
    <mergeCell ref="J80:J95"/>
    <mergeCell ref="K80:K95"/>
    <mergeCell ref="M80:M95"/>
    <mergeCell ref="N80:N95"/>
    <mergeCell ref="X64:X79"/>
    <mergeCell ref="Y64:Y79"/>
    <mergeCell ref="Z64:Z79"/>
    <mergeCell ref="AA64:AA79"/>
    <mergeCell ref="N67:N79"/>
    <mergeCell ref="O67:O79"/>
    <mergeCell ref="P67:P79"/>
    <mergeCell ref="R64:R79"/>
    <mergeCell ref="S64:S79"/>
    <mergeCell ref="T64:T79"/>
    <mergeCell ref="U64:U79"/>
    <mergeCell ref="V64:V79"/>
    <mergeCell ref="W64:W79"/>
    <mergeCell ref="X48:X63"/>
    <mergeCell ref="Y48:Y63"/>
    <mergeCell ref="Z48:Z63"/>
    <mergeCell ref="AA48:AA63"/>
    <mergeCell ref="H64:H79"/>
    <mergeCell ref="I64:I79"/>
    <mergeCell ref="J64:J79"/>
    <mergeCell ref="K64:K79"/>
    <mergeCell ref="M64:M79"/>
    <mergeCell ref="Q64:Q79"/>
    <mergeCell ref="R48:R63"/>
    <mergeCell ref="S48:S63"/>
    <mergeCell ref="T48:T63"/>
    <mergeCell ref="U48:U63"/>
    <mergeCell ref="V48:V63"/>
    <mergeCell ref="W48:W63"/>
    <mergeCell ref="AA32:AA47"/>
    <mergeCell ref="H48:H63"/>
    <mergeCell ref="I48:I63"/>
    <mergeCell ref="J48:J63"/>
    <mergeCell ref="K48:K63"/>
    <mergeCell ref="M48:M63"/>
    <mergeCell ref="N48:N63"/>
    <mergeCell ref="O48:O63"/>
    <mergeCell ref="P48:P63"/>
    <mergeCell ref="Q48:Q63"/>
    <mergeCell ref="U32:U47"/>
    <mergeCell ref="V32:V47"/>
    <mergeCell ref="W32:W47"/>
    <mergeCell ref="X32:X47"/>
    <mergeCell ref="Y32:Y47"/>
    <mergeCell ref="Z32:Z47"/>
    <mergeCell ref="O32:O47"/>
    <mergeCell ref="P32:P47"/>
    <mergeCell ref="Q32:Q47"/>
    <mergeCell ref="R32:R47"/>
    <mergeCell ref="S32:S47"/>
    <mergeCell ref="T32:T47"/>
    <mergeCell ref="Y16:Y31"/>
    <mergeCell ref="Z16:Z31"/>
    <mergeCell ref="AA16:AA31"/>
    <mergeCell ref="H32:H47"/>
    <mergeCell ref="I32:I47"/>
    <mergeCell ref="J32:J47"/>
    <mergeCell ref="K32:K47"/>
    <mergeCell ref="L32:L47"/>
    <mergeCell ref="M32:M47"/>
    <mergeCell ref="N32:N47"/>
    <mergeCell ref="S16:S31"/>
    <mergeCell ref="T16:T31"/>
    <mergeCell ref="U16:U31"/>
    <mergeCell ref="V16:V31"/>
    <mergeCell ref="W16:W31"/>
    <mergeCell ref="X16:X31"/>
    <mergeCell ref="M16:M31"/>
    <mergeCell ref="N16:N31"/>
    <mergeCell ref="O16:O31"/>
    <mergeCell ref="P16:P31"/>
    <mergeCell ref="Q16:Q31"/>
    <mergeCell ref="R16:R31"/>
    <mergeCell ref="AO14:AP14"/>
    <mergeCell ref="AQ14:AR14"/>
    <mergeCell ref="AW14:AX14"/>
    <mergeCell ref="AY14:AZ14"/>
    <mergeCell ref="BA14:BB14"/>
    <mergeCell ref="H16:H31"/>
    <mergeCell ref="I16:I31"/>
    <mergeCell ref="J16:J31"/>
    <mergeCell ref="K16:K31"/>
    <mergeCell ref="L16:L31"/>
    <mergeCell ref="AC14:AD14"/>
    <mergeCell ref="AE14:AF14"/>
    <mergeCell ref="AG14:AH14"/>
    <mergeCell ref="AI14:AJ14"/>
    <mergeCell ref="AK14:AL14"/>
    <mergeCell ref="AM14:AN14"/>
    <mergeCell ref="W14:W15"/>
    <mergeCell ref="X14:X15"/>
    <mergeCell ref="Y14:Y15"/>
    <mergeCell ref="Z14:Z15"/>
    <mergeCell ref="AA14:AA15"/>
    <mergeCell ref="AB14:AB15"/>
    <mergeCell ref="AK1:AN8"/>
    <mergeCell ref="AO1:AQ8"/>
    <mergeCell ref="G14:G15"/>
    <mergeCell ref="H14:H15"/>
    <mergeCell ref="I14:I15"/>
    <mergeCell ref="J14:L14"/>
    <mergeCell ref="O14:P14"/>
    <mergeCell ref="Q14:R14"/>
    <mergeCell ref="S14:T14"/>
    <mergeCell ref="U14:V14"/>
    <mergeCell ref="A1:D8"/>
    <mergeCell ref="E1:N8"/>
    <mergeCell ref="O1:R8"/>
    <mergeCell ref="S1:U8"/>
    <mergeCell ref="W1:Y8"/>
    <mergeCell ref="Z1:AJ8"/>
  </mergeCells>
  <conditionalFormatting sqref="Q128:T128 AW128:BB128">
    <cfRule type="cellIs" priority="2" dxfId="10" operator="notEqual" stopIfTrue="1">
      <formula>#REF!</formula>
    </cfRule>
  </conditionalFormatting>
  <conditionalFormatting sqref="Q16:V127">
    <cfRule type="cellIs" priority="1" dxfId="11" operator="notEqual" stopIfTrue="1">
      <formula>AW16</formula>
    </cfRule>
  </conditionalFormatting>
  <dataValidations count="1">
    <dataValidation type="whole" allowBlank="1" showInputMessage="1" showErrorMessage="1" sqref="AC16:AR127">
      <formula1>0</formula1>
      <formula2>99999999999</formula2>
    </dataValidation>
  </dataValidations>
  <printOptions/>
  <pageMargins left="0.7" right="0.7" top="0.75" bottom="0.75" header="0.3" footer="0.3"/>
  <pageSetup horizontalDpi="600" verticalDpi="600" orientation="landscape" scale="80" r:id="rId4"/>
  <drawing r:id="rId3"/>
  <legacyDrawing r:id="rId2"/>
</worksheet>
</file>

<file path=xl/worksheets/sheet4.xml><?xml version="1.0" encoding="utf-8"?>
<worksheet xmlns="http://schemas.openxmlformats.org/spreadsheetml/2006/main" xmlns:r="http://schemas.openxmlformats.org/officeDocument/2006/relationships">
  <sheetPr codeName="Hoja5">
    <tabColor rgb="FF00B0F0"/>
  </sheetPr>
  <dimension ref="A1:AY66"/>
  <sheetViews>
    <sheetView showGridLines="0" zoomScalePageLayoutView="0" workbookViewId="0" topLeftCell="C10">
      <selection activeCell="E15" sqref="E15"/>
    </sheetView>
  </sheetViews>
  <sheetFormatPr defaultColWidth="0" defaultRowHeight="21" customHeight="1" outlineLevelRow="2"/>
  <cols>
    <col min="1" max="1" width="6.421875" style="5" hidden="1" customWidth="1"/>
    <col min="2" max="2" width="6.28125" style="5" hidden="1" customWidth="1"/>
    <col min="3" max="3" width="6.57421875" style="5" customWidth="1"/>
    <col min="4" max="4" width="16.7109375" style="5" customWidth="1"/>
    <col min="5" max="5" width="7.57421875" style="5" bestFit="1" customWidth="1"/>
    <col min="6" max="6" width="37.421875" style="5" customWidth="1"/>
    <col min="7" max="7" width="4.28125" style="5" customWidth="1"/>
    <col min="8" max="8" width="3.7109375" style="5" customWidth="1"/>
    <col min="9" max="9" width="3.140625" style="5" customWidth="1"/>
    <col min="10" max="10" width="16.7109375" style="5" customWidth="1"/>
    <col min="11" max="11" width="8.140625" style="5" customWidth="1"/>
    <col min="12" max="12" width="12.8515625" style="366" customWidth="1"/>
    <col min="13" max="13" width="16.421875" style="5" customWidth="1"/>
    <col min="14" max="14" width="15.57421875" style="5" customWidth="1"/>
    <col min="15" max="15" width="19.00390625" style="546" customWidth="1"/>
    <col min="16" max="16" width="16.57421875" style="546" customWidth="1"/>
    <col min="17" max="17" width="16.7109375" style="546" customWidth="1"/>
    <col min="18" max="18" width="15.57421875" style="546" customWidth="1"/>
    <col min="19" max="19" width="38.28125" style="5" customWidth="1"/>
    <col min="20" max="20" width="24.7109375" style="5" customWidth="1"/>
    <col min="21" max="21" width="16.7109375" style="5" customWidth="1"/>
    <col min="22" max="22" width="16.57421875" style="5" customWidth="1"/>
    <col min="23" max="23" width="7.57421875" style="5" customWidth="1"/>
    <col min="24" max="24" width="11.140625" style="5" customWidth="1"/>
    <col min="25" max="25" width="16.421875" style="5" customWidth="1"/>
    <col min="26" max="26" width="2.57421875" style="5" customWidth="1"/>
    <col min="27" max="27" width="11.140625" style="5" customWidth="1"/>
    <col min="28" max="28" width="16.421875" style="5" customWidth="1"/>
    <col min="29" max="29" width="2.57421875" style="5" customWidth="1"/>
    <col min="30" max="30" width="11.140625" style="5" customWidth="1"/>
    <col min="31" max="31" width="16.421875" style="5" customWidth="1"/>
    <col min="32" max="32" width="2.57421875" style="5" customWidth="1"/>
    <col min="33" max="33" width="11.140625" style="5" customWidth="1"/>
    <col min="34" max="34" width="16.421875" style="5" customWidth="1"/>
    <col min="35" max="35" width="2.57421875" style="5" customWidth="1"/>
    <col min="36" max="36" width="11.140625" style="5" customWidth="1"/>
    <col min="37" max="37" width="16.421875" style="5" customWidth="1"/>
    <col min="38" max="38" width="2.57421875" style="5" customWidth="1"/>
    <col min="39" max="39" width="11.140625" style="5" customWidth="1"/>
    <col min="40" max="40" width="16.421875" style="5" customWidth="1"/>
    <col min="41" max="41" width="2.57421875" style="5" customWidth="1"/>
    <col min="42" max="42" width="11.140625" style="5" customWidth="1"/>
    <col min="43" max="43" width="16.421875" style="5" customWidth="1"/>
    <col min="44" max="44" width="2.57421875" style="5" customWidth="1"/>
    <col min="45" max="45" width="11.140625" style="5" customWidth="1"/>
    <col min="46" max="46" width="16.421875" style="5" customWidth="1"/>
    <col min="47" max="47" width="2.57421875" style="5" customWidth="1"/>
    <col min="48" max="48" width="11.421875" style="5" customWidth="1"/>
    <col min="49" max="16384" width="11.421875" style="5" hidden="1" customWidth="1"/>
  </cols>
  <sheetData>
    <row r="1" spans="1:51" s="244" customFormat="1" ht="21" customHeight="1">
      <c r="A1" s="237"/>
      <c r="B1" s="238"/>
      <c r="C1" s="240"/>
      <c r="D1" s="241" t="s">
        <v>326</v>
      </c>
      <c r="E1" s="242"/>
      <c r="F1" s="242"/>
      <c r="G1" s="242"/>
      <c r="H1" s="242"/>
      <c r="I1" s="243"/>
      <c r="J1" s="234" t="s">
        <v>190</v>
      </c>
      <c r="K1" s="235"/>
      <c r="L1" s="235"/>
      <c r="M1" s="236"/>
      <c r="N1" s="241"/>
      <c r="O1" s="243"/>
      <c r="P1" s="537"/>
      <c r="Q1" s="538"/>
      <c r="R1" s="539"/>
      <c r="S1" s="258" t="s">
        <v>327</v>
      </c>
      <c r="T1" s="259"/>
      <c r="U1" s="259"/>
      <c r="V1" s="259"/>
      <c r="W1" s="259"/>
      <c r="X1" s="259"/>
      <c r="Y1" s="259"/>
      <c r="Z1" s="259"/>
      <c r="AA1" s="260"/>
      <c r="AB1" s="234" t="s">
        <v>190</v>
      </c>
      <c r="AC1" s="235"/>
      <c r="AD1" s="235"/>
      <c r="AE1" s="236"/>
      <c r="AF1" s="363"/>
      <c r="AG1" s="363"/>
      <c r="AH1" s="241"/>
      <c r="AI1" s="242"/>
      <c r="AJ1" s="243"/>
      <c r="AK1" s="258" t="s">
        <v>328</v>
      </c>
      <c r="AL1" s="259"/>
      <c r="AM1" s="259"/>
      <c r="AN1" s="259"/>
      <c r="AO1" s="259"/>
      <c r="AP1" s="259"/>
      <c r="AQ1" s="259"/>
      <c r="AR1" s="260"/>
      <c r="AS1" s="234" t="s">
        <v>190</v>
      </c>
      <c r="AT1" s="235"/>
      <c r="AU1" s="235"/>
      <c r="AV1" s="236"/>
      <c r="AW1" s="237"/>
      <c r="AX1" s="238"/>
      <c r="AY1" s="240"/>
    </row>
    <row r="2" spans="1:51" s="244" customFormat="1" ht="21" customHeight="1">
      <c r="A2" s="254"/>
      <c r="B2" s="255"/>
      <c r="C2" s="257"/>
      <c r="D2" s="258"/>
      <c r="E2" s="259"/>
      <c r="F2" s="259"/>
      <c r="G2" s="259"/>
      <c r="H2" s="259"/>
      <c r="I2" s="260"/>
      <c r="J2" s="251"/>
      <c r="K2" s="252"/>
      <c r="L2" s="252"/>
      <c r="M2" s="253"/>
      <c r="N2" s="258"/>
      <c r="O2" s="260"/>
      <c r="P2" s="540"/>
      <c r="Q2" s="541"/>
      <c r="R2" s="542"/>
      <c r="S2" s="258"/>
      <c r="T2" s="259"/>
      <c r="U2" s="259"/>
      <c r="V2" s="259"/>
      <c r="W2" s="259"/>
      <c r="X2" s="259"/>
      <c r="Y2" s="259"/>
      <c r="Z2" s="259"/>
      <c r="AA2" s="260"/>
      <c r="AB2" s="251"/>
      <c r="AC2" s="252"/>
      <c r="AD2" s="252"/>
      <c r="AE2" s="253"/>
      <c r="AF2" s="364"/>
      <c r="AG2" s="364"/>
      <c r="AH2" s="258"/>
      <c r="AI2" s="259"/>
      <c r="AJ2" s="260"/>
      <c r="AK2" s="258"/>
      <c r="AL2" s="259"/>
      <c r="AM2" s="259"/>
      <c r="AN2" s="259"/>
      <c r="AO2" s="259"/>
      <c r="AP2" s="259"/>
      <c r="AQ2" s="259"/>
      <c r="AR2" s="260"/>
      <c r="AS2" s="251"/>
      <c r="AT2" s="252"/>
      <c r="AU2" s="252"/>
      <c r="AV2" s="253"/>
      <c r="AW2" s="254"/>
      <c r="AX2" s="255"/>
      <c r="AY2" s="257"/>
    </row>
    <row r="3" spans="1:51" s="244" customFormat="1" ht="21" customHeight="1">
      <c r="A3" s="254"/>
      <c r="B3" s="255"/>
      <c r="C3" s="257"/>
      <c r="D3" s="258"/>
      <c r="E3" s="259"/>
      <c r="F3" s="259"/>
      <c r="G3" s="259"/>
      <c r="H3" s="259"/>
      <c r="I3" s="260"/>
      <c r="J3" s="251"/>
      <c r="K3" s="252"/>
      <c r="L3" s="252"/>
      <c r="M3" s="253"/>
      <c r="N3" s="258"/>
      <c r="O3" s="260"/>
      <c r="P3" s="540"/>
      <c r="Q3" s="541"/>
      <c r="R3" s="542"/>
      <c r="S3" s="258"/>
      <c r="T3" s="259"/>
      <c r="U3" s="259"/>
      <c r="V3" s="259"/>
      <c r="W3" s="259"/>
      <c r="X3" s="259"/>
      <c r="Y3" s="259"/>
      <c r="Z3" s="259"/>
      <c r="AA3" s="260"/>
      <c r="AB3" s="251"/>
      <c r="AC3" s="252"/>
      <c r="AD3" s="252"/>
      <c r="AE3" s="253"/>
      <c r="AF3" s="364"/>
      <c r="AG3" s="364"/>
      <c r="AH3" s="258"/>
      <c r="AI3" s="259"/>
      <c r="AJ3" s="260"/>
      <c r="AK3" s="258"/>
      <c r="AL3" s="259"/>
      <c r="AM3" s="259"/>
      <c r="AN3" s="259"/>
      <c r="AO3" s="259"/>
      <c r="AP3" s="259"/>
      <c r="AQ3" s="259"/>
      <c r="AR3" s="260"/>
      <c r="AS3" s="251"/>
      <c r="AT3" s="252"/>
      <c r="AU3" s="252"/>
      <c r="AV3" s="253"/>
      <c r="AW3" s="254"/>
      <c r="AX3" s="255"/>
      <c r="AY3" s="257"/>
    </row>
    <row r="4" spans="1:51" s="244" customFormat="1" ht="21" customHeight="1">
      <c r="A4" s="254"/>
      <c r="B4" s="255"/>
      <c r="C4" s="257"/>
      <c r="D4" s="258"/>
      <c r="E4" s="259"/>
      <c r="F4" s="259"/>
      <c r="G4" s="259"/>
      <c r="H4" s="259"/>
      <c r="I4" s="260"/>
      <c r="J4" s="251"/>
      <c r="K4" s="252"/>
      <c r="L4" s="252"/>
      <c r="M4" s="253"/>
      <c r="N4" s="258"/>
      <c r="O4" s="260"/>
      <c r="P4" s="540"/>
      <c r="Q4" s="541"/>
      <c r="R4" s="542"/>
      <c r="S4" s="258"/>
      <c r="T4" s="259"/>
      <c r="U4" s="259"/>
      <c r="V4" s="259"/>
      <c r="W4" s="259"/>
      <c r="X4" s="259"/>
      <c r="Y4" s="259"/>
      <c r="Z4" s="259"/>
      <c r="AA4" s="260"/>
      <c r="AB4" s="251"/>
      <c r="AC4" s="252"/>
      <c r="AD4" s="252"/>
      <c r="AE4" s="253"/>
      <c r="AF4" s="364"/>
      <c r="AG4" s="364"/>
      <c r="AH4" s="258"/>
      <c r="AI4" s="259"/>
      <c r="AJ4" s="260"/>
      <c r="AK4" s="258"/>
      <c r="AL4" s="259"/>
      <c r="AM4" s="259"/>
      <c r="AN4" s="259"/>
      <c r="AO4" s="259"/>
      <c r="AP4" s="259"/>
      <c r="AQ4" s="259"/>
      <c r="AR4" s="260"/>
      <c r="AS4" s="251"/>
      <c r="AT4" s="252"/>
      <c r="AU4" s="252"/>
      <c r="AV4" s="253"/>
      <c r="AW4" s="254"/>
      <c r="AX4" s="255"/>
      <c r="AY4" s="257"/>
    </row>
    <row r="5" spans="1:51" s="244" customFormat="1" ht="21" customHeight="1">
      <c r="A5" s="254"/>
      <c r="B5" s="255"/>
      <c r="C5" s="257"/>
      <c r="D5" s="258"/>
      <c r="E5" s="259"/>
      <c r="F5" s="259"/>
      <c r="G5" s="259"/>
      <c r="H5" s="259"/>
      <c r="I5" s="260"/>
      <c r="J5" s="251"/>
      <c r="K5" s="252"/>
      <c r="L5" s="252"/>
      <c r="M5" s="253"/>
      <c r="N5" s="258"/>
      <c r="O5" s="260"/>
      <c r="P5" s="540"/>
      <c r="Q5" s="541"/>
      <c r="R5" s="542"/>
      <c r="S5" s="258"/>
      <c r="T5" s="259"/>
      <c r="U5" s="259"/>
      <c r="V5" s="259"/>
      <c r="W5" s="259"/>
      <c r="X5" s="259"/>
      <c r="Y5" s="259"/>
      <c r="Z5" s="259"/>
      <c r="AA5" s="260"/>
      <c r="AB5" s="251"/>
      <c r="AC5" s="252"/>
      <c r="AD5" s="252"/>
      <c r="AE5" s="253"/>
      <c r="AF5" s="364"/>
      <c r="AG5" s="364"/>
      <c r="AH5" s="258"/>
      <c r="AI5" s="259"/>
      <c r="AJ5" s="260"/>
      <c r="AK5" s="258"/>
      <c r="AL5" s="259"/>
      <c r="AM5" s="259"/>
      <c r="AN5" s="259"/>
      <c r="AO5" s="259"/>
      <c r="AP5" s="259"/>
      <c r="AQ5" s="259"/>
      <c r="AR5" s="260"/>
      <c r="AS5" s="251"/>
      <c r="AT5" s="252"/>
      <c r="AU5" s="252"/>
      <c r="AV5" s="253"/>
      <c r="AW5" s="254"/>
      <c r="AX5" s="255"/>
      <c r="AY5" s="257"/>
    </row>
    <row r="6" spans="1:51" s="244" customFormat="1" ht="21" customHeight="1">
      <c r="A6" s="254"/>
      <c r="B6" s="255"/>
      <c r="C6" s="257"/>
      <c r="D6" s="258"/>
      <c r="E6" s="259"/>
      <c r="F6" s="259"/>
      <c r="G6" s="259"/>
      <c r="H6" s="259"/>
      <c r="I6" s="260"/>
      <c r="J6" s="251"/>
      <c r="K6" s="252"/>
      <c r="L6" s="252"/>
      <c r="M6" s="253"/>
      <c r="N6" s="258"/>
      <c r="O6" s="260"/>
      <c r="P6" s="540"/>
      <c r="Q6" s="541"/>
      <c r="R6" s="542"/>
      <c r="S6" s="258"/>
      <c r="T6" s="259"/>
      <c r="U6" s="259"/>
      <c r="V6" s="259"/>
      <c r="W6" s="259"/>
      <c r="X6" s="259"/>
      <c r="Y6" s="259"/>
      <c r="Z6" s="259"/>
      <c r="AA6" s="260"/>
      <c r="AB6" s="251"/>
      <c r="AC6" s="252"/>
      <c r="AD6" s="252"/>
      <c r="AE6" s="253"/>
      <c r="AF6" s="364"/>
      <c r="AG6" s="364"/>
      <c r="AH6" s="258"/>
      <c r="AI6" s="259"/>
      <c r="AJ6" s="260"/>
      <c r="AK6" s="258"/>
      <c r="AL6" s="259"/>
      <c r="AM6" s="259"/>
      <c r="AN6" s="259"/>
      <c r="AO6" s="259"/>
      <c r="AP6" s="259"/>
      <c r="AQ6" s="259"/>
      <c r="AR6" s="260"/>
      <c r="AS6" s="251"/>
      <c r="AT6" s="252"/>
      <c r="AU6" s="252"/>
      <c r="AV6" s="253"/>
      <c r="AW6" s="254"/>
      <c r="AX6" s="255"/>
      <c r="AY6" s="257"/>
    </row>
    <row r="7" spans="1:51" s="244" customFormat="1" ht="21" customHeight="1">
      <c r="A7" s="254"/>
      <c r="B7" s="255"/>
      <c r="C7" s="257"/>
      <c r="D7" s="258"/>
      <c r="E7" s="259"/>
      <c r="F7" s="259"/>
      <c r="G7" s="259"/>
      <c r="H7" s="259"/>
      <c r="I7" s="260"/>
      <c r="J7" s="251"/>
      <c r="K7" s="252"/>
      <c r="L7" s="252"/>
      <c r="M7" s="253"/>
      <c r="N7" s="258"/>
      <c r="O7" s="260"/>
      <c r="P7" s="540"/>
      <c r="Q7" s="541"/>
      <c r="R7" s="542"/>
      <c r="S7" s="258"/>
      <c r="T7" s="259"/>
      <c r="U7" s="259"/>
      <c r="V7" s="259"/>
      <c r="W7" s="259"/>
      <c r="X7" s="259"/>
      <c r="Y7" s="259"/>
      <c r="Z7" s="259"/>
      <c r="AA7" s="260"/>
      <c r="AB7" s="251"/>
      <c r="AC7" s="252"/>
      <c r="AD7" s="252"/>
      <c r="AE7" s="253"/>
      <c r="AF7" s="364"/>
      <c r="AG7" s="364"/>
      <c r="AH7" s="258"/>
      <c r="AI7" s="259"/>
      <c r="AJ7" s="260"/>
      <c r="AK7" s="258"/>
      <c r="AL7" s="259"/>
      <c r="AM7" s="259"/>
      <c r="AN7" s="259"/>
      <c r="AO7" s="259"/>
      <c r="AP7" s="259"/>
      <c r="AQ7" s="259"/>
      <c r="AR7" s="260"/>
      <c r="AS7" s="251"/>
      <c r="AT7" s="252"/>
      <c r="AU7" s="252"/>
      <c r="AV7" s="253"/>
      <c r="AW7" s="254"/>
      <c r="AX7" s="255"/>
      <c r="AY7" s="257"/>
    </row>
    <row r="8" spans="1:51" s="244" customFormat="1" ht="21" customHeight="1" thickBot="1">
      <c r="A8" s="270"/>
      <c r="B8" s="271"/>
      <c r="C8" s="273"/>
      <c r="D8" s="274"/>
      <c r="E8" s="275"/>
      <c r="F8" s="275"/>
      <c r="G8" s="275"/>
      <c r="H8" s="275"/>
      <c r="I8" s="276"/>
      <c r="J8" s="267"/>
      <c r="K8" s="268"/>
      <c r="L8" s="268"/>
      <c r="M8" s="269"/>
      <c r="N8" s="274"/>
      <c r="O8" s="276"/>
      <c r="P8" s="543"/>
      <c r="Q8" s="544"/>
      <c r="R8" s="545"/>
      <c r="S8" s="274"/>
      <c r="T8" s="275"/>
      <c r="U8" s="275"/>
      <c r="V8" s="275"/>
      <c r="W8" s="275"/>
      <c r="X8" s="275"/>
      <c r="Y8" s="275"/>
      <c r="Z8" s="275"/>
      <c r="AA8" s="276"/>
      <c r="AB8" s="267"/>
      <c r="AC8" s="268"/>
      <c r="AD8" s="268"/>
      <c r="AE8" s="269"/>
      <c r="AF8" s="365"/>
      <c r="AG8" s="365"/>
      <c r="AH8" s="274"/>
      <c r="AI8" s="275"/>
      <c r="AJ8" s="276"/>
      <c r="AK8" s="274"/>
      <c r="AL8" s="275"/>
      <c r="AM8" s="275"/>
      <c r="AN8" s="275"/>
      <c r="AO8" s="275"/>
      <c r="AP8" s="275"/>
      <c r="AQ8" s="275"/>
      <c r="AR8" s="276"/>
      <c r="AS8" s="267"/>
      <c r="AT8" s="268"/>
      <c r="AU8" s="268"/>
      <c r="AV8" s="269"/>
      <c r="AW8" s="270"/>
      <c r="AX8" s="271"/>
      <c r="AY8" s="273"/>
    </row>
    <row r="10" spans="6:9" ht="21" customHeight="1">
      <c r="F10" s="2" t="s">
        <v>3</v>
      </c>
      <c r="G10" s="2"/>
      <c r="H10" s="2"/>
      <c r="I10" s="2"/>
    </row>
    <row r="11" spans="2:47" ht="21" customHeight="1">
      <c r="B11" s="367" t="s">
        <v>247</v>
      </c>
      <c r="C11" s="368" t="s">
        <v>248</v>
      </c>
      <c r="D11" s="369"/>
      <c r="E11" s="370" t="s">
        <v>249</v>
      </c>
      <c r="F11" s="370" t="s">
        <v>8</v>
      </c>
      <c r="G11" s="222" t="s">
        <v>18</v>
      </c>
      <c r="H11" s="206"/>
      <c r="I11" s="207"/>
      <c r="J11" s="371"/>
      <c r="K11" s="205" t="s">
        <v>0</v>
      </c>
      <c r="L11" s="205"/>
      <c r="M11" s="205" t="s">
        <v>273</v>
      </c>
      <c r="N11" s="205"/>
      <c r="O11" s="205" t="s">
        <v>146</v>
      </c>
      <c r="P11" s="205"/>
      <c r="Q11" s="205" t="s">
        <v>140</v>
      </c>
      <c r="R11" s="205"/>
      <c r="S11" s="196" t="s">
        <v>1</v>
      </c>
      <c r="T11" s="196" t="s">
        <v>2</v>
      </c>
      <c r="U11" s="372" t="s">
        <v>250</v>
      </c>
      <c r="V11" s="373"/>
      <c r="W11" s="374"/>
      <c r="X11" s="370" t="s">
        <v>251</v>
      </c>
      <c r="Y11" s="370"/>
      <c r="Z11" s="370"/>
      <c r="AA11" s="370" t="s">
        <v>252</v>
      </c>
      <c r="AB11" s="370"/>
      <c r="AC11" s="370"/>
      <c r="AD11" s="370" t="s">
        <v>253</v>
      </c>
      <c r="AE11" s="370"/>
      <c r="AF11" s="370"/>
      <c r="AG11" s="370" t="s">
        <v>254</v>
      </c>
      <c r="AH11" s="370"/>
      <c r="AI11" s="370"/>
      <c r="AJ11" s="370" t="s">
        <v>255</v>
      </c>
      <c r="AK11" s="370"/>
      <c r="AL11" s="370"/>
      <c r="AM11" s="370" t="s">
        <v>256</v>
      </c>
      <c r="AN11" s="370"/>
      <c r="AO11" s="370"/>
      <c r="AP11" s="370" t="s">
        <v>257</v>
      </c>
      <c r="AQ11" s="370"/>
      <c r="AR11" s="370"/>
      <c r="AS11" s="370" t="s">
        <v>258</v>
      </c>
      <c r="AT11" s="370"/>
      <c r="AU11" s="370"/>
    </row>
    <row r="12" spans="1:47" ht="21" customHeight="1">
      <c r="A12" s="1" t="s">
        <v>212</v>
      </c>
      <c r="B12" s="375"/>
      <c r="C12" s="376"/>
      <c r="D12" s="369" t="s">
        <v>9</v>
      </c>
      <c r="E12" s="370"/>
      <c r="F12" s="370"/>
      <c r="G12" s="4" t="s">
        <v>4</v>
      </c>
      <c r="H12" s="4" t="s">
        <v>5</v>
      </c>
      <c r="I12" s="4" t="s">
        <v>6</v>
      </c>
      <c r="J12" s="4" t="s">
        <v>7</v>
      </c>
      <c r="K12" s="3" t="s">
        <v>115</v>
      </c>
      <c r="L12" s="3" t="s">
        <v>116</v>
      </c>
      <c r="M12" s="377" t="s">
        <v>149</v>
      </c>
      <c r="N12" s="377" t="s">
        <v>150</v>
      </c>
      <c r="O12" s="377" t="s">
        <v>151</v>
      </c>
      <c r="P12" s="377" t="s">
        <v>152</v>
      </c>
      <c r="Q12" s="377" t="s">
        <v>147</v>
      </c>
      <c r="R12" s="377" t="s">
        <v>152</v>
      </c>
      <c r="S12" s="196"/>
      <c r="T12" s="196"/>
      <c r="U12" s="3" t="s">
        <v>259</v>
      </c>
      <c r="V12" s="3" t="s">
        <v>260</v>
      </c>
      <c r="W12" s="3" t="s">
        <v>261</v>
      </c>
      <c r="X12" s="3" t="s">
        <v>259</v>
      </c>
      <c r="Y12" s="3" t="s">
        <v>260</v>
      </c>
      <c r="Z12" s="3" t="s">
        <v>261</v>
      </c>
      <c r="AA12" s="3" t="s">
        <v>259</v>
      </c>
      <c r="AB12" s="3" t="s">
        <v>260</v>
      </c>
      <c r="AC12" s="3" t="s">
        <v>261</v>
      </c>
      <c r="AD12" s="3" t="s">
        <v>259</v>
      </c>
      <c r="AE12" s="3" t="s">
        <v>260</v>
      </c>
      <c r="AF12" s="3" t="s">
        <v>261</v>
      </c>
      <c r="AG12" s="3" t="s">
        <v>259</v>
      </c>
      <c r="AH12" s="3" t="s">
        <v>260</v>
      </c>
      <c r="AI12" s="3" t="s">
        <v>261</v>
      </c>
      <c r="AJ12" s="3" t="s">
        <v>259</v>
      </c>
      <c r="AK12" s="3" t="s">
        <v>260</v>
      </c>
      <c r="AL12" s="3" t="s">
        <v>261</v>
      </c>
      <c r="AM12" s="3" t="s">
        <v>259</v>
      </c>
      <c r="AN12" s="3" t="s">
        <v>260</v>
      </c>
      <c r="AO12" s="3" t="s">
        <v>261</v>
      </c>
      <c r="AP12" s="3" t="s">
        <v>259</v>
      </c>
      <c r="AQ12" s="3" t="s">
        <v>260</v>
      </c>
      <c r="AR12" s="3" t="s">
        <v>261</v>
      </c>
      <c r="AS12" s="3" t="s">
        <v>259</v>
      </c>
      <c r="AT12" s="3" t="s">
        <v>260</v>
      </c>
      <c r="AU12" s="3" t="s">
        <v>261</v>
      </c>
    </row>
    <row r="13" spans="1:47" s="6" customFormat="1" ht="21" customHeight="1" outlineLevel="2">
      <c r="A13" s="378"/>
      <c r="B13" s="381" t="s">
        <v>217</v>
      </c>
      <c r="C13" s="379">
        <v>886</v>
      </c>
      <c r="D13" s="547" t="s">
        <v>329</v>
      </c>
      <c r="E13" s="379"/>
      <c r="F13" s="547" t="s">
        <v>53</v>
      </c>
      <c r="G13" s="381"/>
      <c r="H13" s="381" t="s">
        <v>26</v>
      </c>
      <c r="I13" s="382"/>
      <c r="J13" s="381" t="s">
        <v>78</v>
      </c>
      <c r="K13" s="548">
        <v>0.25</v>
      </c>
      <c r="L13" s="548">
        <f>+K13/12*6</f>
        <v>0.125</v>
      </c>
      <c r="M13" s="549">
        <v>400000000</v>
      </c>
      <c r="N13" s="550">
        <v>400000000</v>
      </c>
      <c r="O13" s="551">
        <v>0</v>
      </c>
      <c r="P13" s="551">
        <v>0</v>
      </c>
      <c r="Q13" s="552">
        <v>0</v>
      </c>
      <c r="R13" s="551">
        <v>0</v>
      </c>
      <c r="S13" s="553" t="s">
        <v>330</v>
      </c>
      <c r="T13" s="553" t="s">
        <v>331</v>
      </c>
      <c r="U13" s="387">
        <f aca="true" t="shared" si="0" ref="U13:V15">+N13</f>
        <v>400000000</v>
      </c>
      <c r="V13" s="387">
        <f t="shared" si="0"/>
        <v>0</v>
      </c>
      <c r="W13" s="390">
        <f>+V13/U13</f>
        <v>0</v>
      </c>
      <c r="X13" s="391"/>
      <c r="Y13" s="391"/>
      <c r="Z13" s="390"/>
      <c r="AA13" s="391"/>
      <c r="AB13" s="391"/>
      <c r="AC13" s="390"/>
      <c r="AD13" s="391"/>
      <c r="AE13" s="391"/>
      <c r="AF13" s="390"/>
      <c r="AG13" s="391"/>
      <c r="AH13" s="391"/>
      <c r="AI13" s="390"/>
      <c r="AJ13" s="391"/>
      <c r="AK13" s="391"/>
      <c r="AL13" s="390"/>
      <c r="AM13" s="391"/>
      <c r="AN13" s="391"/>
      <c r="AO13" s="390"/>
      <c r="AP13" s="391"/>
      <c r="AQ13" s="391"/>
      <c r="AR13" s="390"/>
      <c r="AS13" s="391"/>
      <c r="AT13" s="391"/>
      <c r="AU13" s="390"/>
    </row>
    <row r="14" spans="1:47" s="6" customFormat="1" ht="21" customHeight="1" outlineLevel="2">
      <c r="A14" s="378"/>
      <c r="B14" s="381" t="s">
        <v>217</v>
      </c>
      <c r="C14" s="379">
        <v>886</v>
      </c>
      <c r="D14" s="547" t="s">
        <v>329</v>
      </c>
      <c r="E14" s="379"/>
      <c r="F14" s="547" t="s">
        <v>54</v>
      </c>
      <c r="G14" s="381"/>
      <c r="H14" s="381" t="s">
        <v>26</v>
      </c>
      <c r="I14" s="382"/>
      <c r="J14" s="381" t="s">
        <v>79</v>
      </c>
      <c r="K14" s="548">
        <v>1</v>
      </c>
      <c r="L14" s="548">
        <f>+K14/12*6</f>
        <v>0.5</v>
      </c>
      <c r="M14" s="554">
        <v>44962500</v>
      </c>
      <c r="N14" s="550">
        <v>55848000</v>
      </c>
      <c r="O14" s="551">
        <v>55848000</v>
      </c>
      <c r="P14" s="551">
        <f>5274533+4654000</f>
        <v>9928533</v>
      </c>
      <c r="Q14" s="552">
        <f>122122000-94799467</f>
        <v>27322533</v>
      </c>
      <c r="R14" s="551">
        <v>27322533</v>
      </c>
      <c r="S14" s="553" t="s">
        <v>332</v>
      </c>
      <c r="T14" s="389"/>
      <c r="U14" s="387">
        <f t="shared" si="0"/>
        <v>55848000</v>
      </c>
      <c r="V14" s="387">
        <f t="shared" si="0"/>
        <v>55848000</v>
      </c>
      <c r="W14" s="390">
        <f>+V14/U14</f>
        <v>1</v>
      </c>
      <c r="X14" s="391"/>
      <c r="Y14" s="391"/>
      <c r="Z14" s="390"/>
      <c r="AA14" s="391"/>
      <c r="AB14" s="391"/>
      <c r="AC14" s="390"/>
      <c r="AD14" s="391"/>
      <c r="AE14" s="391"/>
      <c r="AF14" s="390"/>
      <c r="AG14" s="391"/>
      <c r="AH14" s="391"/>
      <c r="AI14" s="390"/>
      <c r="AJ14" s="391"/>
      <c r="AK14" s="391"/>
      <c r="AL14" s="390"/>
      <c r="AM14" s="391"/>
      <c r="AN14" s="391"/>
      <c r="AO14" s="390"/>
      <c r="AP14" s="391"/>
      <c r="AQ14" s="391"/>
      <c r="AR14" s="390"/>
      <c r="AS14" s="391"/>
      <c r="AT14" s="391"/>
      <c r="AU14" s="390"/>
    </row>
    <row r="15" spans="1:47" s="6" customFormat="1" ht="21" customHeight="1" outlineLevel="2">
      <c r="A15" s="378"/>
      <c r="B15" s="381" t="s">
        <v>217</v>
      </c>
      <c r="C15" s="379">
        <v>886</v>
      </c>
      <c r="D15" s="547" t="s">
        <v>329</v>
      </c>
      <c r="E15" s="379"/>
      <c r="F15" s="547" t="s">
        <v>55</v>
      </c>
      <c r="G15" s="381"/>
      <c r="H15" s="381" t="s">
        <v>26</v>
      </c>
      <c r="I15" s="382"/>
      <c r="J15" s="381" t="s">
        <v>80</v>
      </c>
      <c r="K15" s="548">
        <v>1</v>
      </c>
      <c r="L15" s="548">
        <f>+K15/12*6</f>
        <v>0.5</v>
      </c>
      <c r="M15" s="554">
        <v>79054500</v>
      </c>
      <c r="N15" s="550">
        <v>79054500</v>
      </c>
      <c r="O15" s="551">
        <v>0</v>
      </c>
      <c r="P15" s="551">
        <v>0</v>
      </c>
      <c r="Q15" s="552">
        <v>0</v>
      </c>
      <c r="R15" s="551">
        <v>0</v>
      </c>
      <c r="S15" s="553" t="s">
        <v>333</v>
      </c>
      <c r="T15" s="555"/>
      <c r="U15" s="387">
        <f t="shared" si="0"/>
        <v>79054500</v>
      </c>
      <c r="V15" s="387">
        <f t="shared" si="0"/>
        <v>0</v>
      </c>
      <c r="W15" s="390">
        <f>+V15/U15</f>
        <v>0</v>
      </c>
      <c r="X15" s="391"/>
      <c r="Y15" s="391"/>
      <c r="Z15" s="390">
        <f>IF(X15=0,"",Y15/X15)</f>
      </c>
      <c r="AA15" s="391"/>
      <c r="AB15" s="391"/>
      <c r="AC15" s="390">
        <f>IF(AA15=0,"",AB15/AA15)</f>
      </c>
      <c r="AD15" s="391"/>
      <c r="AE15" s="391"/>
      <c r="AF15" s="390">
        <f>IF(AD15=0,"",AE15/AD15)</f>
      </c>
      <c r="AG15" s="391"/>
      <c r="AH15" s="391"/>
      <c r="AI15" s="390">
        <f>IF(AG15=0,"",AH15/AG15)</f>
      </c>
      <c r="AJ15" s="391"/>
      <c r="AK15" s="391"/>
      <c r="AL15" s="390">
        <f>IF(AJ15=0,"",AK15/AJ15)</f>
      </c>
      <c r="AM15" s="391"/>
      <c r="AN15" s="391"/>
      <c r="AO15" s="390">
        <f>IF(AM15=0,"",AN15/AM15)</f>
      </c>
      <c r="AP15" s="391"/>
      <c r="AQ15" s="391"/>
      <c r="AR15" s="390">
        <f>IF(AP15=0,"",AQ15/AP15)</f>
      </c>
      <c r="AS15" s="391"/>
      <c r="AT15" s="391"/>
      <c r="AU15" s="390">
        <f>IF(AS15=0,"",AT15/AS15)</f>
      </c>
    </row>
    <row r="16" spans="1:47" s="568" customFormat="1" ht="15" customHeight="1" outlineLevel="1">
      <c r="A16" s="556"/>
      <c r="B16" s="557"/>
      <c r="C16" s="558"/>
      <c r="D16" s="558">
        <v>1</v>
      </c>
      <c r="E16" s="558"/>
      <c r="F16" s="559"/>
      <c r="G16" s="559"/>
      <c r="H16" s="559"/>
      <c r="I16" s="559"/>
      <c r="J16" s="558"/>
      <c r="K16" s="558"/>
      <c r="L16" s="560"/>
      <c r="M16" s="561">
        <f aca="true" t="shared" si="1" ref="M16:R16">SUM(M13:M15)</f>
        <v>524017000</v>
      </c>
      <c r="N16" s="561">
        <f t="shared" si="1"/>
        <v>534902500</v>
      </c>
      <c r="O16" s="562">
        <f t="shared" si="1"/>
        <v>55848000</v>
      </c>
      <c r="P16" s="562">
        <f t="shared" si="1"/>
        <v>9928533</v>
      </c>
      <c r="Q16" s="562">
        <f t="shared" si="1"/>
        <v>27322533</v>
      </c>
      <c r="R16" s="562">
        <f t="shared" si="1"/>
        <v>27322533</v>
      </c>
      <c r="S16" s="563"/>
      <c r="T16" s="564"/>
      <c r="U16" s="565">
        <f>SUM(U13:U15)</f>
        <v>534902500</v>
      </c>
      <c r="V16" s="565">
        <f>SUM(V13:V15)</f>
        <v>55848000</v>
      </c>
      <c r="W16" s="566">
        <f>SUM(W13:W15)</f>
        <v>1</v>
      </c>
      <c r="X16" s="558"/>
      <c r="Y16" s="558"/>
      <c r="Z16" s="567"/>
      <c r="AA16" s="558"/>
      <c r="AB16" s="558"/>
      <c r="AC16" s="567"/>
      <c r="AD16" s="558"/>
      <c r="AE16" s="558"/>
      <c r="AF16" s="567"/>
      <c r="AG16" s="558"/>
      <c r="AH16" s="558"/>
      <c r="AI16" s="567"/>
      <c r="AJ16" s="558"/>
      <c r="AK16" s="558"/>
      <c r="AL16" s="567"/>
      <c r="AM16" s="558"/>
      <c r="AN16" s="558"/>
      <c r="AO16" s="567"/>
      <c r="AP16" s="558"/>
      <c r="AQ16" s="558"/>
      <c r="AR16" s="567"/>
      <c r="AS16" s="558"/>
      <c r="AT16" s="558"/>
      <c r="AU16" s="567"/>
    </row>
    <row r="17" spans="1:47" s="6" customFormat="1" ht="21" customHeight="1" outlineLevel="2">
      <c r="A17" s="378"/>
      <c r="B17" s="381" t="s">
        <v>285</v>
      </c>
      <c r="C17" s="379">
        <v>886</v>
      </c>
      <c r="D17" s="547" t="s">
        <v>52</v>
      </c>
      <c r="E17" s="379"/>
      <c r="F17" s="547" t="s">
        <v>74</v>
      </c>
      <c r="G17" s="381"/>
      <c r="H17" s="381" t="s">
        <v>26</v>
      </c>
      <c r="I17" s="382"/>
      <c r="J17" s="569" t="s">
        <v>98</v>
      </c>
      <c r="K17" s="548">
        <v>0.25</v>
      </c>
      <c r="L17" s="548">
        <v>0.125</v>
      </c>
      <c r="M17" s="554">
        <v>0</v>
      </c>
      <c r="N17" s="550">
        <v>0</v>
      </c>
      <c r="O17" s="551">
        <v>0</v>
      </c>
      <c r="P17" s="551">
        <v>0</v>
      </c>
      <c r="Q17" s="552">
        <f>205732500-124458500</f>
        <v>81274000</v>
      </c>
      <c r="R17" s="551">
        <f>44167000+31641833-4514600</f>
        <v>71294233</v>
      </c>
      <c r="S17" s="570" t="s">
        <v>334</v>
      </c>
      <c r="T17" s="571"/>
      <c r="U17" s="387">
        <f aca="true" t="shared" si="2" ref="U17:V20">+N17</f>
        <v>0</v>
      </c>
      <c r="V17" s="387">
        <f t="shared" si="2"/>
        <v>0</v>
      </c>
      <c r="W17" s="390" t="e">
        <f>+V17/U17</f>
        <v>#DIV/0!</v>
      </c>
      <c r="X17" s="391"/>
      <c r="Y17" s="391"/>
      <c r="Z17" s="390">
        <f>IF(X17=0,"",Y17/X17)</f>
      </c>
      <c r="AA17" s="391"/>
      <c r="AB17" s="391"/>
      <c r="AC17" s="390">
        <f>IF(AA17=0,"",AB17/AA17)</f>
      </c>
      <c r="AD17" s="391"/>
      <c r="AE17" s="391"/>
      <c r="AF17" s="390">
        <f>IF(AD17=0,"",AE17/AD17)</f>
      </c>
      <c r="AG17" s="391"/>
      <c r="AH17" s="391"/>
      <c r="AI17" s="390">
        <f>IF(AG17=0,"",AH17/AG17)</f>
      </c>
      <c r="AJ17" s="391"/>
      <c r="AK17" s="391"/>
      <c r="AL17" s="390">
        <f>IF(AJ17=0,"",AK17/AJ17)</f>
      </c>
      <c r="AM17" s="391"/>
      <c r="AN17" s="391"/>
      <c r="AO17" s="390">
        <f>IF(AM17=0,"",AN17/AM17)</f>
      </c>
      <c r="AP17" s="391"/>
      <c r="AQ17" s="391"/>
      <c r="AR17" s="390">
        <f>IF(AP17=0,"",AQ17/AP17)</f>
      </c>
      <c r="AS17" s="391"/>
      <c r="AT17" s="391"/>
      <c r="AU17" s="390">
        <f>IF(AS17=0,"",AT17/AS17)</f>
      </c>
    </row>
    <row r="18" spans="1:47" s="6" customFormat="1" ht="21" customHeight="1" outlineLevel="2">
      <c r="A18" s="378"/>
      <c r="B18" s="381" t="s">
        <v>285</v>
      </c>
      <c r="C18" s="379">
        <v>886</v>
      </c>
      <c r="D18" s="547" t="s">
        <v>52</v>
      </c>
      <c r="E18" s="379"/>
      <c r="F18" s="547" t="s">
        <v>335</v>
      </c>
      <c r="G18" s="381"/>
      <c r="H18" s="381" t="s">
        <v>26</v>
      </c>
      <c r="I18" s="382"/>
      <c r="J18" s="569" t="s">
        <v>99</v>
      </c>
      <c r="K18" s="548">
        <v>0.25</v>
      </c>
      <c r="L18" s="548">
        <v>0.125</v>
      </c>
      <c r="M18" s="554">
        <v>0</v>
      </c>
      <c r="N18" s="550">
        <v>0</v>
      </c>
      <c r="O18" s="551">
        <v>0</v>
      </c>
      <c r="P18" s="551">
        <v>0</v>
      </c>
      <c r="Q18" s="552">
        <v>0</v>
      </c>
      <c r="R18" s="551">
        <v>0</v>
      </c>
      <c r="S18" s="571" t="s">
        <v>336</v>
      </c>
      <c r="T18" s="572" t="s">
        <v>337</v>
      </c>
      <c r="U18" s="387">
        <f t="shared" si="2"/>
        <v>0</v>
      </c>
      <c r="V18" s="387">
        <f t="shared" si="2"/>
        <v>0</v>
      </c>
      <c r="W18" s="390" t="e">
        <f>+V18/U18</f>
        <v>#DIV/0!</v>
      </c>
      <c r="X18" s="391"/>
      <c r="Y18" s="391"/>
      <c r="Z18" s="390"/>
      <c r="AA18" s="391"/>
      <c r="AB18" s="391"/>
      <c r="AC18" s="390"/>
      <c r="AD18" s="391"/>
      <c r="AE18" s="391"/>
      <c r="AF18" s="390"/>
      <c r="AG18" s="391"/>
      <c r="AH18" s="391"/>
      <c r="AI18" s="390"/>
      <c r="AJ18" s="391"/>
      <c r="AK18" s="391"/>
      <c r="AL18" s="390"/>
      <c r="AM18" s="391"/>
      <c r="AN18" s="391"/>
      <c r="AO18" s="390"/>
      <c r="AP18" s="391"/>
      <c r="AQ18" s="391"/>
      <c r="AR18" s="390"/>
      <c r="AS18" s="391"/>
      <c r="AT18" s="391"/>
      <c r="AU18" s="390"/>
    </row>
    <row r="19" spans="1:47" s="6" customFormat="1" ht="21" customHeight="1" outlineLevel="2">
      <c r="A19" s="378"/>
      <c r="B19" s="381" t="s">
        <v>285</v>
      </c>
      <c r="C19" s="379">
        <v>886</v>
      </c>
      <c r="D19" s="547" t="s">
        <v>52</v>
      </c>
      <c r="E19" s="379"/>
      <c r="F19" s="547" t="s">
        <v>76</v>
      </c>
      <c r="G19" s="381"/>
      <c r="H19" s="381" t="s">
        <v>26</v>
      </c>
      <c r="I19" s="382"/>
      <c r="J19" s="569" t="s">
        <v>100</v>
      </c>
      <c r="K19" s="548">
        <v>0.25</v>
      </c>
      <c r="L19" s="548">
        <v>0.125</v>
      </c>
      <c r="M19" s="554">
        <v>0</v>
      </c>
      <c r="N19" s="550">
        <v>169534000</v>
      </c>
      <c r="O19" s="551">
        <v>0</v>
      </c>
      <c r="P19" s="551">
        <v>0</v>
      </c>
      <c r="Q19" s="552">
        <f>219646000-167070166</f>
        <v>52575834</v>
      </c>
      <c r="R19" s="551">
        <f>32155000+20420834</f>
        <v>52575834</v>
      </c>
      <c r="S19" s="573" t="s">
        <v>338</v>
      </c>
      <c r="T19" s="572"/>
      <c r="U19" s="387">
        <f t="shared" si="2"/>
        <v>169534000</v>
      </c>
      <c r="V19" s="387">
        <f t="shared" si="2"/>
        <v>0</v>
      </c>
      <c r="W19" s="390">
        <f>+V19/U19</f>
        <v>0</v>
      </c>
      <c r="X19" s="391"/>
      <c r="Y19" s="391"/>
      <c r="Z19" s="390"/>
      <c r="AA19" s="391"/>
      <c r="AB19" s="391"/>
      <c r="AC19" s="390"/>
      <c r="AD19" s="391"/>
      <c r="AE19" s="391"/>
      <c r="AF19" s="390"/>
      <c r="AG19" s="391"/>
      <c r="AH19" s="391"/>
      <c r="AI19" s="390"/>
      <c r="AJ19" s="391"/>
      <c r="AK19" s="391"/>
      <c r="AL19" s="390"/>
      <c r="AM19" s="391"/>
      <c r="AN19" s="391"/>
      <c r="AO19" s="390"/>
      <c r="AP19" s="391"/>
      <c r="AQ19" s="391"/>
      <c r="AR19" s="390"/>
      <c r="AS19" s="391"/>
      <c r="AT19" s="391"/>
      <c r="AU19" s="390"/>
    </row>
    <row r="20" spans="1:47" s="6" customFormat="1" ht="21" customHeight="1" outlineLevel="1">
      <c r="A20" s="574"/>
      <c r="B20" s="381" t="s">
        <v>285</v>
      </c>
      <c r="C20" s="379">
        <v>886</v>
      </c>
      <c r="D20" s="547" t="s">
        <v>52</v>
      </c>
      <c r="E20" s="379"/>
      <c r="F20" s="547" t="s">
        <v>77</v>
      </c>
      <c r="G20" s="381"/>
      <c r="H20" s="381" t="s">
        <v>26</v>
      </c>
      <c r="I20" s="382"/>
      <c r="J20" s="569" t="s">
        <v>339</v>
      </c>
      <c r="K20" s="548">
        <v>0.25</v>
      </c>
      <c r="L20" s="548">
        <v>0.125</v>
      </c>
      <c r="M20" s="575">
        <v>870480000</v>
      </c>
      <c r="N20" s="550">
        <v>656626000</v>
      </c>
      <c r="O20" s="551">
        <v>336609120</v>
      </c>
      <c r="P20" s="551">
        <v>29204400</v>
      </c>
      <c r="Q20" s="552">
        <f>132938600-105012300</f>
        <v>27926300</v>
      </c>
      <c r="R20" s="551">
        <v>27038300</v>
      </c>
      <c r="S20" s="576" t="s">
        <v>340</v>
      </c>
      <c r="T20" s="571" t="s">
        <v>341</v>
      </c>
      <c r="U20" s="387">
        <f t="shared" si="2"/>
        <v>656626000</v>
      </c>
      <c r="V20" s="387">
        <f t="shared" si="2"/>
        <v>336609120</v>
      </c>
      <c r="W20" s="390">
        <f>+V20/U20</f>
        <v>0.5126344677183053</v>
      </c>
      <c r="X20" s="391"/>
      <c r="Y20" s="391"/>
      <c r="Z20" s="390"/>
      <c r="AA20" s="391"/>
      <c r="AB20" s="391"/>
      <c r="AC20" s="390"/>
      <c r="AD20" s="391"/>
      <c r="AE20" s="391"/>
      <c r="AF20" s="390"/>
      <c r="AG20" s="391"/>
      <c r="AH20" s="391"/>
      <c r="AI20" s="390"/>
      <c r="AJ20" s="391"/>
      <c r="AK20" s="391"/>
      <c r="AL20" s="390"/>
      <c r="AM20" s="391"/>
      <c r="AN20" s="391"/>
      <c r="AO20" s="390"/>
      <c r="AP20" s="391"/>
      <c r="AQ20" s="391"/>
      <c r="AR20" s="390"/>
      <c r="AS20" s="391"/>
      <c r="AT20" s="391"/>
      <c r="AU20" s="390"/>
    </row>
    <row r="21" spans="1:47" s="568" customFormat="1" ht="17.25" customHeight="1" outlineLevel="1">
      <c r="A21" s="556"/>
      <c r="B21" s="557"/>
      <c r="C21" s="558"/>
      <c r="D21" s="558">
        <v>2</v>
      </c>
      <c r="E21" s="558"/>
      <c r="F21" s="559"/>
      <c r="G21" s="559"/>
      <c r="H21" s="559"/>
      <c r="I21" s="559"/>
      <c r="J21" s="558"/>
      <c r="K21" s="558"/>
      <c r="L21" s="560"/>
      <c r="M21" s="561">
        <f aca="true" t="shared" si="3" ref="M21:R21">SUM(M17:M20)</f>
        <v>870480000</v>
      </c>
      <c r="N21" s="561">
        <f t="shared" si="3"/>
        <v>826160000</v>
      </c>
      <c r="O21" s="562">
        <f t="shared" si="3"/>
        <v>336609120</v>
      </c>
      <c r="P21" s="562">
        <f t="shared" si="3"/>
        <v>29204400</v>
      </c>
      <c r="Q21" s="562">
        <f t="shared" si="3"/>
        <v>161776134</v>
      </c>
      <c r="R21" s="562">
        <f t="shared" si="3"/>
        <v>150908367</v>
      </c>
      <c r="S21" s="563"/>
      <c r="T21" s="564"/>
      <c r="U21" s="565">
        <f>SUM(U17:U20)</f>
        <v>826160000</v>
      </c>
      <c r="V21" s="565">
        <f>SUM(V17:V20)</f>
        <v>336609120</v>
      </c>
      <c r="W21" s="566" t="e">
        <f>SUM(W17:W20)</f>
        <v>#DIV/0!</v>
      </c>
      <c r="X21" s="558"/>
      <c r="Y21" s="558"/>
      <c r="Z21" s="567"/>
      <c r="AA21" s="558"/>
      <c r="AB21" s="558"/>
      <c r="AC21" s="567"/>
      <c r="AD21" s="558"/>
      <c r="AE21" s="558"/>
      <c r="AF21" s="567"/>
      <c r="AG21" s="558"/>
      <c r="AH21" s="558"/>
      <c r="AI21" s="567"/>
      <c r="AJ21" s="558"/>
      <c r="AK21" s="558"/>
      <c r="AL21" s="567"/>
      <c r="AM21" s="558"/>
      <c r="AN21" s="558"/>
      <c r="AO21" s="567"/>
      <c r="AP21" s="558"/>
      <c r="AQ21" s="558"/>
      <c r="AR21" s="567"/>
      <c r="AS21" s="558"/>
      <c r="AT21" s="558"/>
      <c r="AU21" s="567"/>
    </row>
    <row r="22" spans="1:47" s="6" customFormat="1" ht="40.5" customHeight="1" outlineLevel="2">
      <c r="A22" s="378"/>
      <c r="B22" s="381" t="s">
        <v>293</v>
      </c>
      <c r="C22" s="379">
        <v>886</v>
      </c>
      <c r="D22" s="547" t="s">
        <v>46</v>
      </c>
      <c r="E22" s="379"/>
      <c r="F22" s="547" t="s">
        <v>56</v>
      </c>
      <c r="G22" s="381"/>
      <c r="H22" s="381" t="s">
        <v>26</v>
      </c>
      <c r="I22" s="382"/>
      <c r="J22" s="381" t="s">
        <v>342</v>
      </c>
      <c r="K22" s="548">
        <v>1</v>
      </c>
      <c r="L22" s="548">
        <f>+K22/12*6</f>
        <v>0.5</v>
      </c>
      <c r="M22" s="575">
        <v>0</v>
      </c>
      <c r="N22" s="550">
        <v>0</v>
      </c>
      <c r="O22" s="551">
        <v>0</v>
      </c>
      <c r="P22" s="551">
        <v>0</v>
      </c>
      <c r="Q22" s="552">
        <v>0</v>
      </c>
      <c r="R22" s="551">
        <v>0</v>
      </c>
      <c r="S22" s="553" t="s">
        <v>343</v>
      </c>
      <c r="T22" s="389"/>
      <c r="U22" s="387">
        <f>+N22</f>
        <v>0</v>
      </c>
      <c r="V22" s="387">
        <f>+O22</f>
        <v>0</v>
      </c>
      <c r="W22" s="390" t="e">
        <f>+V22/U22</f>
        <v>#DIV/0!</v>
      </c>
      <c r="X22" s="391"/>
      <c r="Y22" s="391"/>
      <c r="Z22" s="390"/>
      <c r="AA22" s="391"/>
      <c r="AB22" s="391"/>
      <c r="AC22" s="390"/>
      <c r="AD22" s="391"/>
      <c r="AE22" s="391"/>
      <c r="AF22" s="390"/>
      <c r="AG22" s="391"/>
      <c r="AH22" s="391"/>
      <c r="AI22" s="390"/>
      <c r="AJ22" s="391"/>
      <c r="AK22" s="391"/>
      <c r="AL22" s="390"/>
      <c r="AM22" s="391"/>
      <c r="AN22" s="391"/>
      <c r="AO22" s="390"/>
      <c r="AP22" s="391"/>
      <c r="AQ22" s="391"/>
      <c r="AR22" s="390"/>
      <c r="AS22" s="391"/>
      <c r="AT22" s="391"/>
      <c r="AU22" s="390"/>
    </row>
    <row r="23" spans="1:47" s="6" customFormat="1" ht="41.25" customHeight="1" outlineLevel="2">
      <c r="A23" s="378"/>
      <c r="B23" s="381" t="s">
        <v>293</v>
      </c>
      <c r="C23" s="379">
        <v>886</v>
      </c>
      <c r="D23" s="547" t="s">
        <v>46</v>
      </c>
      <c r="E23" s="379"/>
      <c r="F23" s="547" t="s">
        <v>57</v>
      </c>
      <c r="G23" s="381"/>
      <c r="H23" s="381" t="s">
        <v>26</v>
      </c>
      <c r="I23" s="382"/>
      <c r="J23" s="381" t="s">
        <v>344</v>
      </c>
      <c r="K23" s="548">
        <v>1</v>
      </c>
      <c r="L23" s="548">
        <f>+K23/12*6</f>
        <v>0.5</v>
      </c>
      <c r="M23" s="575">
        <v>2548412860</v>
      </c>
      <c r="N23" s="550">
        <f>3044230800-835000-7515000</f>
        <v>3035880800</v>
      </c>
      <c r="O23" s="551">
        <f>2264263720-32722000+191630000</f>
        <v>2423171720</v>
      </c>
      <c r="P23" s="551">
        <f>197338605+157704300</f>
        <v>355042905</v>
      </c>
      <c r="Q23" s="552">
        <f>963832220-726858741</f>
        <v>236973479</v>
      </c>
      <c r="R23" s="551">
        <v>195795419</v>
      </c>
      <c r="S23" s="553" t="s">
        <v>345</v>
      </c>
      <c r="T23" s="389"/>
      <c r="U23" s="387">
        <f>+N23</f>
        <v>3035880800</v>
      </c>
      <c r="V23" s="387">
        <f>+O23</f>
        <v>2423171720</v>
      </c>
      <c r="W23" s="390">
        <f>+V23/U23</f>
        <v>0.7981774910266569</v>
      </c>
      <c r="X23" s="391"/>
      <c r="Y23" s="391"/>
      <c r="Z23" s="390"/>
      <c r="AA23" s="391"/>
      <c r="AB23" s="391"/>
      <c r="AC23" s="390"/>
      <c r="AD23" s="391"/>
      <c r="AE23" s="391"/>
      <c r="AF23" s="390"/>
      <c r="AG23" s="391"/>
      <c r="AH23" s="391"/>
      <c r="AI23" s="390"/>
      <c r="AJ23" s="391"/>
      <c r="AK23" s="391"/>
      <c r="AL23" s="390"/>
      <c r="AM23" s="391"/>
      <c r="AN23" s="391"/>
      <c r="AO23" s="390"/>
      <c r="AP23" s="391"/>
      <c r="AQ23" s="391"/>
      <c r="AR23" s="390"/>
      <c r="AS23" s="391"/>
      <c r="AT23" s="391"/>
      <c r="AU23" s="390"/>
    </row>
    <row r="24" spans="1:47" s="568" customFormat="1" ht="12.75" customHeight="1" outlineLevel="1">
      <c r="A24" s="556"/>
      <c r="B24" s="557"/>
      <c r="C24" s="558"/>
      <c r="D24" s="558">
        <v>3</v>
      </c>
      <c r="E24" s="558"/>
      <c r="F24" s="559"/>
      <c r="G24" s="559"/>
      <c r="H24" s="559"/>
      <c r="I24" s="559"/>
      <c r="J24" s="558"/>
      <c r="K24" s="558"/>
      <c r="L24" s="560"/>
      <c r="M24" s="561">
        <f aca="true" t="shared" si="4" ref="M24:R24">SUM(M22:M23)</f>
        <v>2548412860</v>
      </c>
      <c r="N24" s="561">
        <f t="shared" si="4"/>
        <v>3035880800</v>
      </c>
      <c r="O24" s="562">
        <f t="shared" si="4"/>
        <v>2423171720</v>
      </c>
      <c r="P24" s="562">
        <f t="shared" si="4"/>
        <v>355042905</v>
      </c>
      <c r="Q24" s="562">
        <f t="shared" si="4"/>
        <v>236973479</v>
      </c>
      <c r="R24" s="562">
        <f t="shared" si="4"/>
        <v>195795419</v>
      </c>
      <c r="S24" s="563"/>
      <c r="T24" s="564"/>
      <c r="U24" s="565">
        <f>SUM(U22:U23)</f>
        <v>3035880800</v>
      </c>
      <c r="V24" s="565">
        <f>SUM(V22:V23)</f>
        <v>2423171720</v>
      </c>
      <c r="W24" s="566" t="e">
        <f>SUM(W22:W23)</f>
        <v>#DIV/0!</v>
      </c>
      <c r="X24" s="558"/>
      <c r="Y24" s="558"/>
      <c r="Z24" s="567"/>
      <c r="AA24" s="558"/>
      <c r="AB24" s="558"/>
      <c r="AC24" s="567"/>
      <c r="AD24" s="558"/>
      <c r="AE24" s="558"/>
      <c r="AF24" s="567"/>
      <c r="AG24" s="558"/>
      <c r="AH24" s="558"/>
      <c r="AI24" s="567"/>
      <c r="AJ24" s="558"/>
      <c r="AK24" s="558"/>
      <c r="AL24" s="567"/>
      <c r="AM24" s="558"/>
      <c r="AN24" s="558"/>
      <c r="AO24" s="567"/>
      <c r="AP24" s="558"/>
      <c r="AQ24" s="558"/>
      <c r="AR24" s="567"/>
      <c r="AS24" s="558"/>
      <c r="AT24" s="558"/>
      <c r="AU24" s="567"/>
    </row>
    <row r="25" spans="1:47" s="6" customFormat="1" ht="21" customHeight="1" outlineLevel="1">
      <c r="A25" s="574"/>
      <c r="B25" s="381" t="s">
        <v>299</v>
      </c>
      <c r="C25" s="379">
        <v>886</v>
      </c>
      <c r="D25" s="547" t="s">
        <v>47</v>
      </c>
      <c r="E25" s="379"/>
      <c r="F25" s="547" t="s">
        <v>346</v>
      </c>
      <c r="G25" s="381"/>
      <c r="H25" s="381" t="s">
        <v>26</v>
      </c>
      <c r="I25" s="382"/>
      <c r="J25" s="381" t="s">
        <v>83</v>
      </c>
      <c r="K25" s="548">
        <v>1</v>
      </c>
      <c r="L25" s="548">
        <f>+K25/12*6</f>
        <v>0.5</v>
      </c>
      <c r="M25" s="575">
        <v>82450000</v>
      </c>
      <c r="N25" s="550">
        <v>79152000</v>
      </c>
      <c r="O25" s="551">
        <v>79152000</v>
      </c>
      <c r="P25" s="551">
        <f>14511200+6596000</f>
        <v>21107200</v>
      </c>
      <c r="Q25" s="552">
        <f>65182500-58239300</f>
        <v>6943200</v>
      </c>
      <c r="R25" s="551">
        <f>6312000+631200</f>
        <v>6943200</v>
      </c>
      <c r="S25" s="553" t="s">
        <v>347</v>
      </c>
      <c r="T25" s="389"/>
      <c r="U25" s="387">
        <f aca="true" t="shared" si="5" ref="U25:V34">+N25</f>
        <v>79152000</v>
      </c>
      <c r="V25" s="387">
        <f t="shared" si="5"/>
        <v>79152000</v>
      </c>
      <c r="W25" s="390">
        <f aca="true" t="shared" si="6" ref="W25:W38">+V25/U25</f>
        <v>1</v>
      </c>
      <c r="X25" s="391"/>
      <c r="Y25" s="391"/>
      <c r="Z25" s="390"/>
      <c r="AA25" s="391"/>
      <c r="AB25" s="391"/>
      <c r="AC25" s="390"/>
      <c r="AD25" s="391"/>
      <c r="AE25" s="391"/>
      <c r="AF25" s="390"/>
      <c r="AG25" s="391"/>
      <c r="AH25" s="391"/>
      <c r="AI25" s="390"/>
      <c r="AJ25" s="391"/>
      <c r="AK25" s="391"/>
      <c r="AL25" s="390"/>
      <c r="AM25" s="391"/>
      <c r="AN25" s="391"/>
      <c r="AO25" s="390"/>
      <c r="AP25" s="391"/>
      <c r="AQ25" s="391"/>
      <c r="AR25" s="390"/>
      <c r="AS25" s="391"/>
      <c r="AT25" s="391"/>
      <c r="AU25" s="390"/>
    </row>
    <row r="26" spans="1:47" s="6" customFormat="1" ht="77.25" customHeight="1" outlineLevel="1">
      <c r="A26" s="574"/>
      <c r="B26" s="381" t="s">
        <v>299</v>
      </c>
      <c r="C26" s="379">
        <v>886</v>
      </c>
      <c r="D26" s="547" t="s">
        <v>47</v>
      </c>
      <c r="E26" s="379"/>
      <c r="F26" s="547" t="s">
        <v>59</v>
      </c>
      <c r="G26" s="381"/>
      <c r="H26" s="381" t="s">
        <v>26</v>
      </c>
      <c r="I26" s="382"/>
      <c r="J26" s="381" t="s">
        <v>84</v>
      </c>
      <c r="K26" s="65">
        <v>18</v>
      </c>
      <c r="L26" s="577">
        <v>18</v>
      </c>
      <c r="M26" s="575">
        <v>526830500</v>
      </c>
      <c r="N26" s="550">
        <v>506880500</v>
      </c>
      <c r="O26" s="551">
        <v>483660500</v>
      </c>
      <c r="P26" s="551">
        <f>63633267+45345400</f>
        <v>108978667</v>
      </c>
      <c r="Q26" s="552">
        <f>302002500-236731467</f>
        <v>65271033</v>
      </c>
      <c r="R26" s="551">
        <v>52380067</v>
      </c>
      <c r="S26" s="553" t="s">
        <v>348</v>
      </c>
      <c r="T26" s="389"/>
      <c r="U26" s="387">
        <f t="shared" si="5"/>
        <v>506880500</v>
      </c>
      <c r="V26" s="387">
        <f t="shared" si="5"/>
        <v>483660500</v>
      </c>
      <c r="W26" s="390">
        <f t="shared" si="6"/>
        <v>0.9541903860969203</v>
      </c>
      <c r="X26" s="391"/>
      <c r="Y26" s="391"/>
      <c r="Z26" s="390"/>
      <c r="AA26" s="391"/>
      <c r="AB26" s="391"/>
      <c r="AC26" s="390"/>
      <c r="AD26" s="391"/>
      <c r="AE26" s="391"/>
      <c r="AF26" s="390"/>
      <c r="AG26" s="391"/>
      <c r="AH26" s="391"/>
      <c r="AI26" s="390"/>
      <c r="AJ26" s="391"/>
      <c r="AK26" s="391"/>
      <c r="AL26" s="390"/>
      <c r="AM26" s="391"/>
      <c r="AN26" s="391"/>
      <c r="AO26" s="390"/>
      <c r="AP26" s="391"/>
      <c r="AQ26" s="391"/>
      <c r="AR26" s="390"/>
      <c r="AS26" s="391"/>
      <c r="AT26" s="391"/>
      <c r="AU26" s="390"/>
    </row>
    <row r="27" spans="1:47" s="6" customFormat="1" ht="45" customHeight="1" outlineLevel="1">
      <c r="A27" s="574"/>
      <c r="B27" s="381" t="s">
        <v>299</v>
      </c>
      <c r="C27" s="379">
        <v>886</v>
      </c>
      <c r="D27" s="547" t="s">
        <v>47</v>
      </c>
      <c r="E27" s="379"/>
      <c r="F27" s="547" t="s">
        <v>60</v>
      </c>
      <c r="G27" s="381"/>
      <c r="H27" s="381" t="s">
        <v>26</v>
      </c>
      <c r="I27" s="382"/>
      <c r="J27" s="381" t="s">
        <v>85</v>
      </c>
      <c r="K27" s="65">
        <v>170</v>
      </c>
      <c r="L27" s="578" t="s">
        <v>349</v>
      </c>
      <c r="M27" s="575">
        <v>169686860</v>
      </c>
      <c r="N27" s="550">
        <v>166916860</v>
      </c>
      <c r="O27" s="551">
        <v>166916860</v>
      </c>
      <c r="P27" s="551">
        <f>24102249+5540000</f>
        <v>29642249</v>
      </c>
      <c r="Q27" s="552">
        <f>49645500-42577500</f>
        <v>7068000</v>
      </c>
      <c r="R27" s="551">
        <f>5301000+1767000</f>
        <v>7068000</v>
      </c>
      <c r="S27" s="553" t="s">
        <v>350</v>
      </c>
      <c r="T27" s="389"/>
      <c r="U27" s="387">
        <f t="shared" si="5"/>
        <v>166916860</v>
      </c>
      <c r="V27" s="387">
        <f t="shared" si="5"/>
        <v>166916860</v>
      </c>
      <c r="W27" s="390">
        <f t="shared" si="6"/>
        <v>1</v>
      </c>
      <c r="X27" s="391"/>
      <c r="Y27" s="391"/>
      <c r="Z27" s="390"/>
      <c r="AA27" s="391"/>
      <c r="AB27" s="391"/>
      <c r="AC27" s="390"/>
      <c r="AD27" s="391"/>
      <c r="AE27" s="391"/>
      <c r="AF27" s="390"/>
      <c r="AG27" s="391"/>
      <c r="AH27" s="391"/>
      <c r="AI27" s="390"/>
      <c r="AJ27" s="391"/>
      <c r="AK27" s="391"/>
      <c r="AL27" s="390"/>
      <c r="AM27" s="391"/>
      <c r="AN27" s="391"/>
      <c r="AO27" s="390"/>
      <c r="AP27" s="391"/>
      <c r="AQ27" s="391"/>
      <c r="AR27" s="390"/>
      <c r="AS27" s="391"/>
      <c r="AT27" s="391"/>
      <c r="AU27" s="390"/>
    </row>
    <row r="28" spans="1:47" s="6" customFormat="1" ht="80.25" customHeight="1" outlineLevel="1">
      <c r="A28" s="574"/>
      <c r="B28" s="381" t="s">
        <v>299</v>
      </c>
      <c r="C28" s="379">
        <v>886</v>
      </c>
      <c r="D28" s="547" t="s">
        <v>47</v>
      </c>
      <c r="E28" s="379"/>
      <c r="F28" s="547" t="s">
        <v>61</v>
      </c>
      <c r="G28" s="381"/>
      <c r="H28" s="381" t="s">
        <v>26</v>
      </c>
      <c r="I28" s="382"/>
      <c r="J28" s="381" t="s">
        <v>351</v>
      </c>
      <c r="K28" s="548">
        <v>0.25</v>
      </c>
      <c r="L28" s="548">
        <f>+K28/12*6</f>
        <v>0.125</v>
      </c>
      <c r="M28" s="575">
        <v>53521000</v>
      </c>
      <c r="N28" s="550">
        <v>60940000</v>
      </c>
      <c r="O28" s="551">
        <v>60940000</v>
      </c>
      <c r="P28" s="551">
        <f>5540000+5540000</f>
        <v>11080000</v>
      </c>
      <c r="Q28" s="552">
        <f>93908500-79020933</f>
        <v>14887567</v>
      </c>
      <c r="R28" s="551">
        <v>14887567</v>
      </c>
      <c r="S28" s="553" t="s">
        <v>352</v>
      </c>
      <c r="T28" s="579"/>
      <c r="U28" s="387">
        <f t="shared" si="5"/>
        <v>60940000</v>
      </c>
      <c r="V28" s="387">
        <f t="shared" si="5"/>
        <v>60940000</v>
      </c>
      <c r="W28" s="390">
        <f t="shared" si="6"/>
        <v>1</v>
      </c>
      <c r="X28" s="391"/>
      <c r="Y28" s="391"/>
      <c r="Z28" s="390"/>
      <c r="AA28" s="391"/>
      <c r="AB28" s="391"/>
      <c r="AC28" s="390"/>
      <c r="AD28" s="391"/>
      <c r="AE28" s="391"/>
      <c r="AF28" s="390"/>
      <c r="AG28" s="391"/>
      <c r="AH28" s="391"/>
      <c r="AI28" s="390"/>
      <c r="AJ28" s="391"/>
      <c r="AK28" s="391"/>
      <c r="AL28" s="390"/>
      <c r="AM28" s="391"/>
      <c r="AN28" s="391"/>
      <c r="AO28" s="390"/>
      <c r="AP28" s="391"/>
      <c r="AQ28" s="391"/>
      <c r="AR28" s="390"/>
      <c r="AS28" s="391"/>
      <c r="AT28" s="391"/>
      <c r="AU28" s="390"/>
    </row>
    <row r="29" spans="1:47" s="6" customFormat="1" ht="63.75" customHeight="1" outlineLevel="1">
      <c r="A29" s="574"/>
      <c r="B29" s="381" t="s">
        <v>299</v>
      </c>
      <c r="C29" s="379">
        <v>886</v>
      </c>
      <c r="D29" s="547" t="s">
        <v>47</v>
      </c>
      <c r="E29" s="379"/>
      <c r="F29" s="547" t="s">
        <v>353</v>
      </c>
      <c r="G29" s="381"/>
      <c r="H29" s="381" t="s">
        <v>26</v>
      </c>
      <c r="I29" s="382"/>
      <c r="J29" s="381" t="s">
        <v>354</v>
      </c>
      <c r="K29" s="548">
        <v>0.25</v>
      </c>
      <c r="L29" s="548">
        <f>+K29/12*6</f>
        <v>0.125</v>
      </c>
      <c r="M29" s="575">
        <v>797636900</v>
      </c>
      <c r="N29" s="550">
        <v>890551180</v>
      </c>
      <c r="O29" s="551">
        <v>694015400</v>
      </c>
      <c r="P29" s="551">
        <f>43888334+52181507</f>
        <v>96069841</v>
      </c>
      <c r="Q29" s="552">
        <f>826851973-580750983</f>
        <v>246100990</v>
      </c>
      <c r="R29" s="551">
        <f>162511080+36666667+13211067</f>
        <v>212388814</v>
      </c>
      <c r="S29" s="553" t="s">
        <v>355</v>
      </c>
      <c r="T29" s="389"/>
      <c r="U29" s="387">
        <f t="shared" si="5"/>
        <v>890551180</v>
      </c>
      <c r="V29" s="387">
        <f t="shared" si="5"/>
        <v>694015400</v>
      </c>
      <c r="W29" s="390">
        <f t="shared" si="6"/>
        <v>0.7793099549876515</v>
      </c>
      <c r="X29" s="391"/>
      <c r="Y29" s="391"/>
      <c r="Z29" s="390"/>
      <c r="AA29" s="391"/>
      <c r="AB29" s="391"/>
      <c r="AC29" s="390"/>
      <c r="AD29" s="391"/>
      <c r="AE29" s="391"/>
      <c r="AF29" s="390"/>
      <c r="AG29" s="391"/>
      <c r="AH29" s="391"/>
      <c r="AI29" s="390"/>
      <c r="AJ29" s="391"/>
      <c r="AK29" s="391"/>
      <c r="AL29" s="390"/>
      <c r="AM29" s="391"/>
      <c r="AN29" s="391"/>
      <c r="AO29" s="390"/>
      <c r="AP29" s="391"/>
      <c r="AQ29" s="391"/>
      <c r="AR29" s="390"/>
      <c r="AS29" s="391"/>
      <c r="AT29" s="391"/>
      <c r="AU29" s="390"/>
    </row>
    <row r="30" spans="1:47" s="6" customFormat="1" ht="54" customHeight="1" outlineLevel="1">
      <c r="A30" s="574"/>
      <c r="B30" s="381" t="s">
        <v>299</v>
      </c>
      <c r="C30" s="379">
        <v>886</v>
      </c>
      <c r="D30" s="547" t="s">
        <v>47</v>
      </c>
      <c r="E30" s="379"/>
      <c r="F30" s="547" t="s">
        <v>63</v>
      </c>
      <c r="G30" s="381"/>
      <c r="H30" s="381" t="s">
        <v>26</v>
      </c>
      <c r="I30" s="382"/>
      <c r="J30" s="381" t="s">
        <v>356</v>
      </c>
      <c r="K30" s="548">
        <v>0.3</v>
      </c>
      <c r="L30" s="548">
        <f>+K30/12*6</f>
        <v>0.15</v>
      </c>
      <c r="M30" s="575">
        <v>0</v>
      </c>
      <c r="N30" s="550">
        <v>0</v>
      </c>
      <c r="O30" s="551">
        <v>0</v>
      </c>
      <c r="P30" s="551">
        <v>0</v>
      </c>
      <c r="Q30" s="552">
        <f>780203260-625899252</f>
        <v>154304008</v>
      </c>
      <c r="R30" s="551">
        <f>75901000+14177900+52853001</f>
        <v>142931901</v>
      </c>
      <c r="S30" s="553" t="s">
        <v>357</v>
      </c>
      <c r="T30" s="389"/>
      <c r="U30" s="387">
        <f t="shared" si="5"/>
        <v>0</v>
      </c>
      <c r="V30" s="387">
        <f t="shared" si="5"/>
        <v>0</v>
      </c>
      <c r="W30" s="390" t="e">
        <f t="shared" si="6"/>
        <v>#DIV/0!</v>
      </c>
      <c r="X30" s="391"/>
      <c r="Y30" s="391"/>
      <c r="Z30" s="390"/>
      <c r="AA30" s="391"/>
      <c r="AB30" s="391"/>
      <c r="AC30" s="390"/>
      <c r="AD30" s="391"/>
      <c r="AE30" s="391"/>
      <c r="AF30" s="390"/>
      <c r="AG30" s="391"/>
      <c r="AH30" s="391"/>
      <c r="AI30" s="390"/>
      <c r="AJ30" s="391"/>
      <c r="AK30" s="391"/>
      <c r="AL30" s="390"/>
      <c r="AM30" s="391"/>
      <c r="AN30" s="391"/>
      <c r="AO30" s="390"/>
      <c r="AP30" s="391"/>
      <c r="AQ30" s="391"/>
      <c r="AR30" s="390"/>
      <c r="AS30" s="391"/>
      <c r="AT30" s="391"/>
      <c r="AU30" s="390"/>
    </row>
    <row r="31" spans="1:47" s="6" customFormat="1" ht="96" customHeight="1" outlineLevel="1">
      <c r="A31" s="574"/>
      <c r="B31" s="381" t="s">
        <v>299</v>
      </c>
      <c r="C31" s="379">
        <v>886</v>
      </c>
      <c r="D31" s="547" t="s">
        <v>47</v>
      </c>
      <c r="E31" s="379"/>
      <c r="F31" s="547" t="s">
        <v>64</v>
      </c>
      <c r="G31" s="381"/>
      <c r="H31" s="381" t="s">
        <v>26</v>
      </c>
      <c r="I31" s="382"/>
      <c r="J31" s="381" t="s">
        <v>89</v>
      </c>
      <c r="K31" s="65">
        <v>1</v>
      </c>
      <c r="L31" s="577">
        <v>0</v>
      </c>
      <c r="M31" s="575">
        <v>90348000</v>
      </c>
      <c r="N31" s="550">
        <v>90348000</v>
      </c>
      <c r="O31" s="551">
        <v>90348000</v>
      </c>
      <c r="P31" s="551">
        <f>16061867+7529000</f>
        <v>23590867</v>
      </c>
      <c r="Q31" s="552">
        <f>153463000-131780400</f>
        <v>21682600</v>
      </c>
      <c r="R31" s="551">
        <f>15006000+6676600</f>
        <v>21682600</v>
      </c>
      <c r="S31" s="553" t="s">
        <v>358</v>
      </c>
      <c r="T31" s="389"/>
      <c r="U31" s="387">
        <f t="shared" si="5"/>
        <v>90348000</v>
      </c>
      <c r="V31" s="387">
        <f t="shared" si="5"/>
        <v>90348000</v>
      </c>
      <c r="W31" s="390">
        <f t="shared" si="6"/>
        <v>1</v>
      </c>
      <c r="X31" s="391"/>
      <c r="Y31" s="391"/>
      <c r="Z31" s="390"/>
      <c r="AA31" s="391"/>
      <c r="AB31" s="391"/>
      <c r="AC31" s="390"/>
      <c r="AD31" s="391"/>
      <c r="AE31" s="391"/>
      <c r="AF31" s="390"/>
      <c r="AG31" s="391"/>
      <c r="AH31" s="391"/>
      <c r="AI31" s="390"/>
      <c r="AJ31" s="391"/>
      <c r="AK31" s="391"/>
      <c r="AL31" s="390"/>
      <c r="AM31" s="391"/>
      <c r="AN31" s="391"/>
      <c r="AO31" s="390"/>
      <c r="AP31" s="391"/>
      <c r="AQ31" s="391"/>
      <c r="AR31" s="390"/>
      <c r="AS31" s="391"/>
      <c r="AT31" s="391"/>
      <c r="AU31" s="390"/>
    </row>
    <row r="32" spans="1:47" s="6" customFormat="1" ht="63" customHeight="1" outlineLevel="1">
      <c r="A32" s="574"/>
      <c r="B32" s="381" t="s">
        <v>299</v>
      </c>
      <c r="C32" s="379">
        <v>886</v>
      </c>
      <c r="D32" s="547" t="s">
        <v>47</v>
      </c>
      <c r="E32" s="379"/>
      <c r="F32" s="547" t="s">
        <v>65</v>
      </c>
      <c r="G32" s="381"/>
      <c r="H32" s="381" t="s">
        <v>26</v>
      </c>
      <c r="I32" s="382"/>
      <c r="J32" s="381" t="s">
        <v>89</v>
      </c>
      <c r="K32" s="65">
        <v>1</v>
      </c>
      <c r="L32" s="65">
        <v>0</v>
      </c>
      <c r="M32" s="575">
        <v>79152000</v>
      </c>
      <c r="N32" s="550">
        <v>79152000</v>
      </c>
      <c r="O32" s="551">
        <v>79152000</v>
      </c>
      <c r="P32" s="551">
        <f>9454267+6596000</f>
        <v>16050267</v>
      </c>
      <c r="Q32" s="552">
        <f>62148000-50786400</f>
        <v>11361600</v>
      </c>
      <c r="R32" s="551">
        <f>6312000+5049600</f>
        <v>11361600</v>
      </c>
      <c r="S32" s="553" t="s">
        <v>359</v>
      </c>
      <c r="T32" s="553"/>
      <c r="U32" s="387">
        <f t="shared" si="5"/>
        <v>79152000</v>
      </c>
      <c r="V32" s="387">
        <f t="shared" si="5"/>
        <v>79152000</v>
      </c>
      <c r="W32" s="390">
        <f t="shared" si="6"/>
        <v>1</v>
      </c>
      <c r="X32" s="391"/>
      <c r="Y32" s="391"/>
      <c r="Z32" s="390"/>
      <c r="AA32" s="391"/>
      <c r="AB32" s="391"/>
      <c r="AC32" s="390"/>
      <c r="AD32" s="391"/>
      <c r="AE32" s="391"/>
      <c r="AF32" s="390"/>
      <c r="AG32" s="391"/>
      <c r="AH32" s="391"/>
      <c r="AI32" s="390"/>
      <c r="AJ32" s="391"/>
      <c r="AK32" s="391"/>
      <c r="AL32" s="390"/>
      <c r="AM32" s="391"/>
      <c r="AN32" s="391"/>
      <c r="AO32" s="390"/>
      <c r="AP32" s="391"/>
      <c r="AQ32" s="391"/>
      <c r="AR32" s="390"/>
      <c r="AS32" s="391"/>
      <c r="AT32" s="391"/>
      <c r="AU32" s="390"/>
    </row>
    <row r="33" spans="1:47" s="6" customFormat="1" ht="54" customHeight="1" outlineLevel="1">
      <c r="A33" s="574"/>
      <c r="B33" s="381" t="s">
        <v>299</v>
      </c>
      <c r="C33" s="379">
        <v>886</v>
      </c>
      <c r="D33" s="547" t="s">
        <v>47</v>
      </c>
      <c r="E33" s="379"/>
      <c r="F33" s="547" t="s">
        <v>360</v>
      </c>
      <c r="G33" s="381"/>
      <c r="H33" s="381" t="s">
        <v>26</v>
      </c>
      <c r="I33" s="382"/>
      <c r="J33" s="381" t="s">
        <v>90</v>
      </c>
      <c r="K33" s="65">
        <v>128</v>
      </c>
      <c r="L33" s="65">
        <v>64</v>
      </c>
      <c r="M33" s="575">
        <v>602314750</v>
      </c>
      <c r="N33" s="550">
        <v>581832400</v>
      </c>
      <c r="O33" s="551">
        <v>577706000</v>
      </c>
      <c r="P33" s="551">
        <f>24639367+32269433</f>
        <v>56908800</v>
      </c>
      <c r="Q33" s="552">
        <f>515147000-375060334</f>
        <v>140086666</v>
      </c>
      <c r="R33" s="551">
        <f>40619500+48335433</f>
        <v>88954933</v>
      </c>
      <c r="S33" s="553" t="s">
        <v>361</v>
      </c>
      <c r="T33" s="553"/>
      <c r="U33" s="387">
        <f t="shared" si="5"/>
        <v>581832400</v>
      </c>
      <c r="V33" s="387">
        <f t="shared" si="5"/>
        <v>577706000</v>
      </c>
      <c r="W33" s="390">
        <f t="shared" si="6"/>
        <v>0.992907923312624</v>
      </c>
      <c r="X33" s="391"/>
      <c r="Y33" s="391"/>
      <c r="Z33" s="390"/>
      <c r="AA33" s="391"/>
      <c r="AB33" s="391"/>
      <c r="AC33" s="390"/>
      <c r="AD33" s="391"/>
      <c r="AE33" s="391"/>
      <c r="AF33" s="390"/>
      <c r="AG33" s="391"/>
      <c r="AH33" s="391"/>
      <c r="AI33" s="390"/>
      <c r="AJ33" s="391"/>
      <c r="AK33" s="391"/>
      <c r="AL33" s="390"/>
      <c r="AM33" s="391"/>
      <c r="AN33" s="391"/>
      <c r="AO33" s="390"/>
      <c r="AP33" s="391"/>
      <c r="AQ33" s="391"/>
      <c r="AR33" s="390"/>
      <c r="AS33" s="391"/>
      <c r="AT33" s="391"/>
      <c r="AU33" s="390"/>
    </row>
    <row r="34" spans="1:47" s="6" customFormat="1" ht="67.5" customHeight="1" outlineLevel="1">
      <c r="A34" s="574"/>
      <c r="B34" s="381" t="s">
        <v>299</v>
      </c>
      <c r="C34" s="379">
        <v>886</v>
      </c>
      <c r="D34" s="547" t="s">
        <v>47</v>
      </c>
      <c r="E34" s="379"/>
      <c r="F34" s="547" t="s">
        <v>67</v>
      </c>
      <c r="G34" s="381"/>
      <c r="H34" s="381" t="s">
        <v>26</v>
      </c>
      <c r="I34" s="382"/>
      <c r="J34" s="381" t="s">
        <v>91</v>
      </c>
      <c r="K34" s="65">
        <v>12</v>
      </c>
      <c r="L34" s="580">
        <v>5</v>
      </c>
      <c r="M34" s="575">
        <v>826660130</v>
      </c>
      <c r="N34" s="551">
        <v>334387760</v>
      </c>
      <c r="O34" s="551">
        <v>280000320</v>
      </c>
      <c r="P34" s="581">
        <f>85106602+34140307</f>
        <v>119246909</v>
      </c>
      <c r="Q34" s="552">
        <f>216701180-163491620</f>
        <v>53209560</v>
      </c>
      <c r="R34" s="551">
        <v>53209760</v>
      </c>
      <c r="S34" s="553" t="s">
        <v>362</v>
      </c>
      <c r="T34" s="389"/>
      <c r="U34" s="387">
        <f t="shared" si="5"/>
        <v>334387760</v>
      </c>
      <c r="V34" s="387">
        <f t="shared" si="5"/>
        <v>280000320</v>
      </c>
      <c r="W34" s="390">
        <f t="shared" si="6"/>
        <v>0.83735218059417</v>
      </c>
      <c r="X34" s="391"/>
      <c r="Y34" s="391"/>
      <c r="Z34" s="390"/>
      <c r="AA34" s="391"/>
      <c r="AB34" s="391"/>
      <c r="AC34" s="390"/>
      <c r="AD34" s="391"/>
      <c r="AE34" s="391"/>
      <c r="AF34" s="390"/>
      <c r="AG34" s="391"/>
      <c r="AH34" s="391"/>
      <c r="AI34" s="390"/>
      <c r="AJ34" s="391"/>
      <c r="AK34" s="391"/>
      <c r="AL34" s="390"/>
      <c r="AM34" s="391"/>
      <c r="AN34" s="391"/>
      <c r="AO34" s="390"/>
      <c r="AP34" s="391"/>
      <c r="AQ34" s="391"/>
      <c r="AR34" s="390"/>
      <c r="AS34" s="391"/>
      <c r="AT34" s="391"/>
      <c r="AU34" s="390"/>
    </row>
    <row r="35" spans="1:47" s="568" customFormat="1" ht="16.5" customHeight="1" outlineLevel="2">
      <c r="A35" s="557"/>
      <c r="B35" s="557"/>
      <c r="C35" s="558"/>
      <c r="D35" s="582">
        <v>4</v>
      </c>
      <c r="E35" s="558"/>
      <c r="F35" s="559"/>
      <c r="G35" s="559"/>
      <c r="H35" s="559"/>
      <c r="I35" s="559"/>
      <c r="J35" s="558"/>
      <c r="K35" s="583"/>
      <c r="L35" s="584"/>
      <c r="M35" s="561">
        <f aca="true" t="shared" si="7" ref="M35:R35">SUM(M25:M34)</f>
        <v>3228600140</v>
      </c>
      <c r="N35" s="561">
        <f t="shared" si="7"/>
        <v>2790160700</v>
      </c>
      <c r="O35" s="562">
        <f t="shared" si="7"/>
        <v>2511891080</v>
      </c>
      <c r="P35" s="562">
        <f t="shared" si="7"/>
        <v>482674800</v>
      </c>
      <c r="Q35" s="562">
        <f t="shared" si="7"/>
        <v>720915224</v>
      </c>
      <c r="R35" s="562">
        <f t="shared" si="7"/>
        <v>611808442</v>
      </c>
      <c r="S35" s="585"/>
      <c r="T35" s="564"/>
      <c r="U35" s="565">
        <f>SUM(U25:U34)</f>
        <v>2790160700</v>
      </c>
      <c r="V35" s="565">
        <f>SUM(V25:V34)</f>
        <v>2511891080</v>
      </c>
      <c r="W35" s="566" t="e">
        <f>SUM(W25:W34)</f>
        <v>#DIV/0!</v>
      </c>
      <c r="X35" s="558"/>
      <c r="Y35" s="558"/>
      <c r="Z35" s="567"/>
      <c r="AA35" s="558"/>
      <c r="AB35" s="558"/>
      <c r="AC35" s="567"/>
      <c r="AD35" s="558"/>
      <c r="AE35" s="558"/>
      <c r="AF35" s="567"/>
      <c r="AG35" s="558"/>
      <c r="AH35" s="558"/>
      <c r="AI35" s="567"/>
      <c r="AJ35" s="558"/>
      <c r="AK35" s="558"/>
      <c r="AL35" s="567"/>
      <c r="AM35" s="558"/>
      <c r="AN35" s="558"/>
      <c r="AO35" s="567"/>
      <c r="AP35" s="558"/>
      <c r="AQ35" s="558"/>
      <c r="AR35" s="567"/>
      <c r="AS35" s="558"/>
      <c r="AT35" s="558"/>
      <c r="AU35" s="567"/>
    </row>
    <row r="36" spans="1:47" s="6" customFormat="1" ht="45" customHeight="1" outlineLevel="2">
      <c r="A36" s="378"/>
      <c r="B36" s="381" t="s">
        <v>308</v>
      </c>
      <c r="C36" s="379">
        <v>886</v>
      </c>
      <c r="D36" s="547" t="s">
        <v>363</v>
      </c>
      <c r="E36" s="379"/>
      <c r="F36" s="547" t="s">
        <v>364</v>
      </c>
      <c r="G36" s="381"/>
      <c r="H36" s="381" t="s">
        <v>26</v>
      </c>
      <c r="I36" s="382"/>
      <c r="J36" s="381" t="s">
        <v>365</v>
      </c>
      <c r="K36" s="586">
        <v>40</v>
      </c>
      <c r="L36" s="586">
        <v>40</v>
      </c>
      <c r="M36" s="575">
        <v>0</v>
      </c>
      <c r="N36" s="550">
        <v>0</v>
      </c>
      <c r="O36" s="551">
        <v>0</v>
      </c>
      <c r="P36" s="551">
        <v>0</v>
      </c>
      <c r="Q36" s="552">
        <f>20811500-17256300</f>
        <v>3555200</v>
      </c>
      <c r="R36" s="551">
        <f>2222000+1333200</f>
        <v>3555200</v>
      </c>
      <c r="S36" s="553"/>
      <c r="T36" s="587" t="s">
        <v>311</v>
      </c>
      <c r="U36" s="387">
        <f aca="true" t="shared" si="8" ref="U36:V38">+N36</f>
        <v>0</v>
      </c>
      <c r="V36" s="387">
        <f t="shared" si="8"/>
        <v>0</v>
      </c>
      <c r="W36" s="390" t="e">
        <f t="shared" si="6"/>
        <v>#DIV/0!</v>
      </c>
      <c r="X36" s="391"/>
      <c r="Y36" s="391"/>
      <c r="Z36" s="390"/>
      <c r="AA36" s="391"/>
      <c r="AB36" s="391"/>
      <c r="AC36" s="390"/>
      <c r="AD36" s="391"/>
      <c r="AE36" s="391"/>
      <c r="AF36" s="390"/>
      <c r="AG36" s="391"/>
      <c r="AH36" s="391"/>
      <c r="AI36" s="390"/>
      <c r="AJ36" s="391"/>
      <c r="AK36" s="391"/>
      <c r="AL36" s="390"/>
      <c r="AM36" s="391"/>
      <c r="AN36" s="391"/>
      <c r="AO36" s="390"/>
      <c r="AP36" s="391"/>
      <c r="AQ36" s="391"/>
      <c r="AR36" s="390"/>
      <c r="AS36" s="391"/>
      <c r="AT36" s="391"/>
      <c r="AU36" s="390"/>
    </row>
    <row r="37" spans="1:47" s="6" customFormat="1" ht="45" customHeight="1" outlineLevel="2">
      <c r="A37" s="378"/>
      <c r="B37" s="381" t="s">
        <v>308</v>
      </c>
      <c r="C37" s="379">
        <v>886</v>
      </c>
      <c r="D37" s="547" t="s">
        <v>363</v>
      </c>
      <c r="E37" s="379"/>
      <c r="F37" s="547" t="s">
        <v>366</v>
      </c>
      <c r="G37" s="381"/>
      <c r="H37" s="381" t="s">
        <v>26</v>
      </c>
      <c r="I37" s="382"/>
      <c r="J37" s="381" t="s">
        <v>367</v>
      </c>
      <c r="K37" s="588">
        <v>1</v>
      </c>
      <c r="L37" s="588">
        <v>1</v>
      </c>
      <c r="M37" s="575">
        <v>0</v>
      </c>
      <c r="N37" s="550">
        <v>0</v>
      </c>
      <c r="O37" s="551">
        <v>0</v>
      </c>
      <c r="P37" s="551">
        <v>0</v>
      </c>
      <c r="Q37" s="552">
        <v>0</v>
      </c>
      <c r="R37" s="551">
        <v>0</v>
      </c>
      <c r="S37" s="553"/>
      <c r="T37" s="589"/>
      <c r="U37" s="387">
        <f t="shared" si="8"/>
        <v>0</v>
      </c>
      <c r="V37" s="387">
        <f t="shared" si="8"/>
        <v>0</v>
      </c>
      <c r="W37" s="390" t="e">
        <f t="shared" si="6"/>
        <v>#DIV/0!</v>
      </c>
      <c r="X37" s="391"/>
      <c r="Y37" s="391"/>
      <c r="Z37" s="390"/>
      <c r="AA37" s="391"/>
      <c r="AB37" s="391"/>
      <c r="AC37" s="390"/>
      <c r="AD37" s="391"/>
      <c r="AE37" s="391"/>
      <c r="AF37" s="390"/>
      <c r="AG37" s="391"/>
      <c r="AH37" s="391"/>
      <c r="AI37" s="390"/>
      <c r="AJ37" s="391"/>
      <c r="AK37" s="391"/>
      <c r="AL37" s="390"/>
      <c r="AM37" s="391"/>
      <c r="AN37" s="391"/>
      <c r="AO37" s="390"/>
      <c r="AP37" s="391"/>
      <c r="AQ37" s="391"/>
      <c r="AR37" s="390"/>
      <c r="AS37" s="391"/>
      <c r="AT37" s="391"/>
      <c r="AU37" s="390"/>
    </row>
    <row r="38" spans="1:47" s="6" customFormat="1" ht="45" customHeight="1" outlineLevel="2">
      <c r="A38" s="378"/>
      <c r="B38" s="381" t="s">
        <v>308</v>
      </c>
      <c r="C38" s="379">
        <v>886</v>
      </c>
      <c r="D38" s="547" t="s">
        <v>363</v>
      </c>
      <c r="E38" s="379"/>
      <c r="F38" s="547" t="s">
        <v>368</v>
      </c>
      <c r="G38" s="381"/>
      <c r="H38" s="381" t="s">
        <v>26</v>
      </c>
      <c r="I38" s="382"/>
      <c r="J38" s="381" t="s">
        <v>369</v>
      </c>
      <c r="K38" s="588">
        <v>6</v>
      </c>
      <c r="L38" s="588">
        <v>6</v>
      </c>
      <c r="M38" s="575">
        <v>0</v>
      </c>
      <c r="N38" s="550">
        <v>0</v>
      </c>
      <c r="O38" s="551">
        <v>0</v>
      </c>
      <c r="P38" s="551">
        <v>0</v>
      </c>
      <c r="Q38" s="552">
        <v>0</v>
      </c>
      <c r="R38" s="551">
        <v>0</v>
      </c>
      <c r="S38" s="553"/>
      <c r="T38" s="590"/>
      <c r="U38" s="387">
        <f t="shared" si="8"/>
        <v>0</v>
      </c>
      <c r="V38" s="387">
        <f t="shared" si="8"/>
        <v>0</v>
      </c>
      <c r="W38" s="390" t="e">
        <f t="shared" si="6"/>
        <v>#DIV/0!</v>
      </c>
      <c r="X38" s="391"/>
      <c r="Y38" s="391"/>
      <c r="Z38" s="390"/>
      <c r="AA38" s="391"/>
      <c r="AB38" s="391"/>
      <c r="AC38" s="390"/>
      <c r="AD38" s="391"/>
      <c r="AE38" s="391"/>
      <c r="AF38" s="390"/>
      <c r="AG38" s="391"/>
      <c r="AH38" s="391"/>
      <c r="AI38" s="390"/>
      <c r="AJ38" s="391"/>
      <c r="AK38" s="391"/>
      <c r="AL38" s="390"/>
      <c r="AM38" s="391"/>
      <c r="AN38" s="391"/>
      <c r="AO38" s="390"/>
      <c r="AP38" s="391"/>
      <c r="AQ38" s="391"/>
      <c r="AR38" s="390"/>
      <c r="AS38" s="391"/>
      <c r="AT38" s="391"/>
      <c r="AU38" s="390"/>
    </row>
    <row r="39" spans="1:47" s="568" customFormat="1" ht="12" customHeight="1" hidden="1" outlineLevel="2">
      <c r="A39" s="557"/>
      <c r="B39" s="557"/>
      <c r="C39" s="558"/>
      <c r="D39" s="582">
        <v>5</v>
      </c>
      <c r="E39" s="558"/>
      <c r="F39" s="559"/>
      <c r="G39" s="559"/>
      <c r="H39" s="559"/>
      <c r="I39" s="559"/>
      <c r="J39" s="558"/>
      <c r="K39" s="583"/>
      <c r="L39" s="584"/>
      <c r="M39" s="561">
        <f aca="true" t="shared" si="9" ref="M39:R39">SUM(M36:M38)</f>
        <v>0</v>
      </c>
      <c r="N39" s="561">
        <f t="shared" si="9"/>
        <v>0</v>
      </c>
      <c r="O39" s="562">
        <f t="shared" si="9"/>
        <v>0</v>
      </c>
      <c r="P39" s="562">
        <f t="shared" si="9"/>
        <v>0</v>
      </c>
      <c r="Q39" s="562">
        <f t="shared" si="9"/>
        <v>3555200</v>
      </c>
      <c r="R39" s="562">
        <f t="shared" si="9"/>
        <v>3555200</v>
      </c>
      <c r="S39" s="591"/>
      <c r="T39" s="564"/>
      <c r="U39" s="566">
        <f>SUM(U36:U38)</f>
        <v>0</v>
      </c>
      <c r="V39" s="566">
        <f>SUM(V36:V38)</f>
        <v>0</v>
      </c>
      <c r="W39" s="566" t="e">
        <f>SUM(W36:W38)</f>
        <v>#DIV/0!</v>
      </c>
      <c r="X39" s="558"/>
      <c r="Y39" s="558"/>
      <c r="Z39" s="567"/>
      <c r="AA39" s="558"/>
      <c r="AB39" s="558"/>
      <c r="AC39" s="567"/>
      <c r="AD39" s="558"/>
      <c r="AE39" s="558"/>
      <c r="AF39" s="567"/>
      <c r="AG39" s="558"/>
      <c r="AH39" s="558"/>
      <c r="AI39" s="567"/>
      <c r="AJ39" s="558"/>
      <c r="AK39" s="558"/>
      <c r="AL39" s="567"/>
      <c r="AM39" s="558"/>
      <c r="AN39" s="558"/>
      <c r="AO39" s="567"/>
      <c r="AP39" s="558"/>
      <c r="AQ39" s="558"/>
      <c r="AR39" s="567"/>
      <c r="AS39" s="558"/>
      <c r="AT39" s="558"/>
      <c r="AU39" s="567"/>
    </row>
    <row r="40" spans="1:47" s="6" customFormat="1" ht="45" customHeight="1" hidden="1" outlineLevel="1">
      <c r="A40" s="574"/>
      <c r="B40" s="381" t="s">
        <v>313</v>
      </c>
      <c r="C40" s="379">
        <v>886</v>
      </c>
      <c r="D40" s="547" t="s">
        <v>33</v>
      </c>
      <c r="E40" s="379"/>
      <c r="F40" s="547" t="s">
        <v>370</v>
      </c>
      <c r="G40" s="381"/>
      <c r="H40" s="381" t="s">
        <v>26</v>
      </c>
      <c r="I40" s="382"/>
      <c r="J40" s="592" t="s">
        <v>371</v>
      </c>
      <c r="K40" s="593">
        <v>1</v>
      </c>
      <c r="L40" s="593">
        <v>0.4726</v>
      </c>
      <c r="M40" s="575">
        <v>53521000</v>
      </c>
      <c r="N40" s="550">
        <v>53521000</v>
      </c>
      <c r="O40" s="551">
        <v>53521000</v>
      </c>
      <c r="P40" s="551">
        <f>6670733+4654000</f>
        <v>11324733</v>
      </c>
      <c r="Q40" s="552">
        <f>56240000-49956800</f>
        <v>6283200</v>
      </c>
      <c r="R40" s="551">
        <f>5712000+571200</f>
        <v>6283200</v>
      </c>
      <c r="S40" s="594" t="s">
        <v>372</v>
      </c>
      <c r="T40" s="389"/>
      <c r="U40" s="387">
        <f aca="true" t="shared" si="10" ref="U40:V42">+N40</f>
        <v>53521000</v>
      </c>
      <c r="V40" s="387">
        <f t="shared" si="10"/>
        <v>53521000</v>
      </c>
      <c r="W40" s="390">
        <f>+V40/U40</f>
        <v>1</v>
      </c>
      <c r="X40" s="391"/>
      <c r="Y40" s="391"/>
      <c r="Z40" s="390"/>
      <c r="AA40" s="391"/>
      <c r="AB40" s="391"/>
      <c r="AC40" s="390"/>
      <c r="AD40" s="391"/>
      <c r="AE40" s="391"/>
      <c r="AF40" s="390"/>
      <c r="AG40" s="391"/>
      <c r="AH40" s="391"/>
      <c r="AI40" s="390"/>
      <c r="AJ40" s="391"/>
      <c r="AK40" s="391"/>
      <c r="AL40" s="390"/>
      <c r="AM40" s="391"/>
      <c r="AN40" s="391"/>
      <c r="AO40" s="390"/>
      <c r="AP40" s="391"/>
      <c r="AQ40" s="391"/>
      <c r="AR40" s="390"/>
      <c r="AS40" s="391"/>
      <c r="AT40" s="391"/>
      <c r="AU40" s="390"/>
    </row>
    <row r="41" spans="1:47" s="6" customFormat="1" ht="45" customHeight="1" hidden="1" outlineLevel="1">
      <c r="A41" s="574"/>
      <c r="B41" s="381" t="s">
        <v>313</v>
      </c>
      <c r="C41" s="379">
        <v>886</v>
      </c>
      <c r="D41" s="547" t="s">
        <v>33</v>
      </c>
      <c r="E41" s="379"/>
      <c r="F41" s="547" t="s">
        <v>373</v>
      </c>
      <c r="G41" s="381"/>
      <c r="H41" s="381" t="s">
        <v>26</v>
      </c>
      <c r="I41" s="382"/>
      <c r="J41" s="592" t="s">
        <v>374</v>
      </c>
      <c r="K41" s="593">
        <v>1</v>
      </c>
      <c r="L41" s="593">
        <v>0.4313</v>
      </c>
      <c r="M41" s="575">
        <v>155667000</v>
      </c>
      <c r="N41" s="550">
        <v>119291000</v>
      </c>
      <c r="O41" s="551">
        <v>119291000</v>
      </c>
      <c r="P41" s="551">
        <v>6037200</v>
      </c>
      <c r="Q41" s="552">
        <f>119481000-96790400</f>
        <v>22690600</v>
      </c>
      <c r="R41" s="551">
        <v>22690600</v>
      </c>
      <c r="S41" s="594" t="s">
        <v>375</v>
      </c>
      <c r="T41" s="389"/>
      <c r="U41" s="387">
        <f t="shared" si="10"/>
        <v>119291000</v>
      </c>
      <c r="V41" s="387">
        <f t="shared" si="10"/>
        <v>119291000</v>
      </c>
      <c r="W41" s="390">
        <f>+V41/U41</f>
        <v>1</v>
      </c>
      <c r="X41" s="391"/>
      <c r="Y41" s="391"/>
      <c r="Z41" s="390"/>
      <c r="AA41" s="391"/>
      <c r="AB41" s="391"/>
      <c r="AC41" s="390"/>
      <c r="AD41" s="391"/>
      <c r="AE41" s="391"/>
      <c r="AF41" s="390"/>
      <c r="AG41" s="391"/>
      <c r="AH41" s="391"/>
      <c r="AI41" s="390"/>
      <c r="AJ41" s="391"/>
      <c r="AK41" s="391"/>
      <c r="AL41" s="390"/>
      <c r="AM41" s="391"/>
      <c r="AN41" s="391"/>
      <c r="AO41" s="390"/>
      <c r="AP41" s="391"/>
      <c r="AQ41" s="391"/>
      <c r="AR41" s="390"/>
      <c r="AS41" s="391"/>
      <c r="AT41" s="391"/>
      <c r="AU41" s="390"/>
    </row>
    <row r="42" spans="1:47" s="6" customFormat="1" ht="45" customHeight="1" hidden="1" outlineLevel="1">
      <c r="A42" s="574"/>
      <c r="B42" s="381" t="s">
        <v>313</v>
      </c>
      <c r="C42" s="379">
        <v>886</v>
      </c>
      <c r="D42" s="547" t="s">
        <v>33</v>
      </c>
      <c r="E42" s="379"/>
      <c r="F42" s="547" t="s">
        <v>376</v>
      </c>
      <c r="G42" s="381"/>
      <c r="H42" s="381" t="s">
        <v>26</v>
      </c>
      <c r="I42" s="382"/>
      <c r="J42" s="381" t="s">
        <v>377</v>
      </c>
      <c r="K42" s="586">
        <v>400</v>
      </c>
      <c r="L42" s="586">
        <f>71+59+70</f>
        <v>200</v>
      </c>
      <c r="M42" s="575">
        <v>65659000</v>
      </c>
      <c r="N42" s="550">
        <v>72556000</v>
      </c>
      <c r="O42" s="551">
        <v>72556000</v>
      </c>
      <c r="P42" s="551">
        <f>6596000+6596000</f>
        <v>13192000</v>
      </c>
      <c r="Q42" s="552">
        <f>33892000-28155333</f>
        <v>5736667</v>
      </c>
      <c r="R42" s="551">
        <f>3442000+2294667</f>
        <v>5736667</v>
      </c>
      <c r="S42" s="594" t="s">
        <v>378</v>
      </c>
      <c r="T42" s="389"/>
      <c r="U42" s="387">
        <f t="shared" si="10"/>
        <v>72556000</v>
      </c>
      <c r="V42" s="387">
        <f t="shared" si="10"/>
        <v>72556000</v>
      </c>
      <c r="W42" s="390">
        <f>+V42/U42</f>
        <v>1</v>
      </c>
      <c r="X42" s="391"/>
      <c r="Y42" s="391"/>
      <c r="Z42" s="390"/>
      <c r="AA42" s="391"/>
      <c r="AB42" s="391"/>
      <c r="AC42" s="390"/>
      <c r="AD42" s="391"/>
      <c r="AE42" s="391"/>
      <c r="AF42" s="390"/>
      <c r="AG42" s="391"/>
      <c r="AH42" s="391"/>
      <c r="AI42" s="390"/>
      <c r="AJ42" s="391"/>
      <c r="AK42" s="391"/>
      <c r="AL42" s="390"/>
      <c r="AM42" s="391"/>
      <c r="AN42" s="391"/>
      <c r="AO42" s="390"/>
      <c r="AP42" s="391"/>
      <c r="AQ42" s="391"/>
      <c r="AR42" s="390"/>
      <c r="AS42" s="391"/>
      <c r="AT42" s="391"/>
      <c r="AU42" s="390"/>
    </row>
    <row r="43" spans="1:47" s="568" customFormat="1" ht="14.25" customHeight="1" hidden="1" outlineLevel="2">
      <c r="A43" s="557"/>
      <c r="B43" s="557"/>
      <c r="C43" s="558"/>
      <c r="D43" s="582">
        <v>6</v>
      </c>
      <c r="E43" s="558"/>
      <c r="F43" s="559"/>
      <c r="G43" s="559"/>
      <c r="H43" s="559"/>
      <c r="I43" s="559"/>
      <c r="J43" s="558"/>
      <c r="K43" s="583"/>
      <c r="L43" s="584"/>
      <c r="M43" s="561">
        <f aca="true" t="shared" si="11" ref="M43:R43">SUM(M40:M42)</f>
        <v>274847000</v>
      </c>
      <c r="N43" s="561">
        <f t="shared" si="11"/>
        <v>245368000</v>
      </c>
      <c r="O43" s="562">
        <f t="shared" si="11"/>
        <v>245368000</v>
      </c>
      <c r="P43" s="562">
        <f t="shared" si="11"/>
        <v>30553933</v>
      </c>
      <c r="Q43" s="562">
        <f t="shared" si="11"/>
        <v>34710467</v>
      </c>
      <c r="R43" s="562">
        <f t="shared" si="11"/>
        <v>34710467</v>
      </c>
      <c r="S43" s="591"/>
      <c r="T43" s="564"/>
      <c r="U43" s="566">
        <f>SUM(U40:U42)</f>
        <v>245368000</v>
      </c>
      <c r="V43" s="566">
        <f>SUM(V40:V42)</f>
        <v>245368000</v>
      </c>
      <c r="W43" s="566">
        <f>SUM(W40:W42)</f>
        <v>3</v>
      </c>
      <c r="X43" s="558"/>
      <c r="Y43" s="558"/>
      <c r="Z43" s="567"/>
      <c r="AA43" s="558"/>
      <c r="AB43" s="558"/>
      <c r="AC43" s="567"/>
      <c r="AD43" s="558"/>
      <c r="AE43" s="558"/>
      <c r="AF43" s="567"/>
      <c r="AG43" s="558"/>
      <c r="AH43" s="558"/>
      <c r="AI43" s="567"/>
      <c r="AJ43" s="558"/>
      <c r="AK43" s="558"/>
      <c r="AL43" s="567"/>
      <c r="AM43" s="558"/>
      <c r="AN43" s="558"/>
      <c r="AO43" s="567"/>
      <c r="AP43" s="558"/>
      <c r="AQ43" s="558"/>
      <c r="AR43" s="567"/>
      <c r="AS43" s="558"/>
      <c r="AT43" s="558"/>
      <c r="AU43" s="567"/>
    </row>
    <row r="44" spans="1:47" s="6" customFormat="1" ht="45" customHeight="1" hidden="1" outlineLevel="1">
      <c r="A44" s="574"/>
      <c r="B44" s="381" t="s">
        <v>320</v>
      </c>
      <c r="C44" s="379">
        <v>886</v>
      </c>
      <c r="D44" s="547" t="s">
        <v>34</v>
      </c>
      <c r="E44" s="379"/>
      <c r="F44" s="547" t="s">
        <v>379</v>
      </c>
      <c r="G44" s="381"/>
      <c r="H44" s="381" t="s">
        <v>26</v>
      </c>
      <c r="I44" s="382"/>
      <c r="J44" s="381" t="s">
        <v>380</v>
      </c>
      <c r="K44" s="595">
        <v>1</v>
      </c>
      <c r="L44" s="595">
        <v>1</v>
      </c>
      <c r="M44" s="596">
        <v>0</v>
      </c>
      <c r="N44" s="550">
        <v>0</v>
      </c>
      <c r="O44" s="551">
        <v>0</v>
      </c>
      <c r="P44" s="551">
        <v>0</v>
      </c>
      <c r="Q44" s="552">
        <f>264404900-201724500</f>
        <v>62680400</v>
      </c>
      <c r="R44" s="551">
        <v>55305500</v>
      </c>
      <c r="S44" s="594" t="s">
        <v>381</v>
      </c>
      <c r="T44" s="389"/>
      <c r="U44" s="387">
        <f aca="true" t="shared" si="12" ref="U44:V49">+N44</f>
        <v>0</v>
      </c>
      <c r="V44" s="387">
        <f t="shared" si="12"/>
        <v>0</v>
      </c>
      <c r="W44" s="390" t="e">
        <f aca="true" t="shared" si="13" ref="W44:W49">+V44/U44</f>
        <v>#DIV/0!</v>
      </c>
      <c r="X44" s="391"/>
      <c r="Y44" s="391"/>
      <c r="Z44" s="390"/>
      <c r="AA44" s="391"/>
      <c r="AB44" s="391"/>
      <c r="AC44" s="390"/>
      <c r="AD44" s="391"/>
      <c r="AE44" s="391"/>
      <c r="AF44" s="390"/>
      <c r="AG44" s="391"/>
      <c r="AH44" s="391"/>
      <c r="AI44" s="390"/>
      <c r="AJ44" s="391"/>
      <c r="AK44" s="391"/>
      <c r="AL44" s="390"/>
      <c r="AM44" s="391"/>
      <c r="AN44" s="391"/>
      <c r="AO44" s="390"/>
      <c r="AP44" s="391"/>
      <c r="AQ44" s="391"/>
      <c r="AR44" s="390"/>
      <c r="AS44" s="391"/>
      <c r="AT44" s="391"/>
      <c r="AU44" s="390"/>
    </row>
    <row r="45" spans="1:47" s="6" customFormat="1" ht="45" customHeight="1" hidden="1" outlineLevel="1">
      <c r="A45" s="574"/>
      <c r="B45" s="381" t="s">
        <v>320</v>
      </c>
      <c r="C45" s="379">
        <v>886</v>
      </c>
      <c r="D45" s="547" t="s">
        <v>34</v>
      </c>
      <c r="E45" s="379"/>
      <c r="F45" s="547" t="s">
        <v>382</v>
      </c>
      <c r="G45" s="381"/>
      <c r="H45" s="381" t="s">
        <v>26</v>
      </c>
      <c r="I45" s="382"/>
      <c r="J45" s="381" t="s">
        <v>383</v>
      </c>
      <c r="K45" s="586">
        <v>400</v>
      </c>
      <c r="L45" s="597">
        <f>71+59+70</f>
        <v>200</v>
      </c>
      <c r="M45" s="575">
        <v>177854000</v>
      </c>
      <c r="N45" s="550">
        <v>198005000</v>
      </c>
      <c r="O45" s="551">
        <v>197532000</v>
      </c>
      <c r="P45" s="551">
        <f>16450600+17329433</f>
        <v>33780033</v>
      </c>
      <c r="Q45" s="552">
        <v>0</v>
      </c>
      <c r="R45" s="551">
        <v>0</v>
      </c>
      <c r="S45" s="594" t="s">
        <v>384</v>
      </c>
      <c r="T45" s="389"/>
      <c r="U45" s="387">
        <f t="shared" si="12"/>
        <v>198005000</v>
      </c>
      <c r="V45" s="387">
        <f t="shared" si="12"/>
        <v>197532000</v>
      </c>
      <c r="W45" s="390">
        <f t="shared" si="13"/>
        <v>0.9976111714350647</v>
      </c>
      <c r="X45" s="391"/>
      <c r="Y45" s="391"/>
      <c r="Z45" s="390"/>
      <c r="AA45" s="391"/>
      <c r="AB45" s="391"/>
      <c r="AC45" s="390"/>
      <c r="AD45" s="391"/>
      <c r="AE45" s="391"/>
      <c r="AF45" s="390"/>
      <c r="AG45" s="391"/>
      <c r="AH45" s="391"/>
      <c r="AI45" s="390"/>
      <c r="AJ45" s="391"/>
      <c r="AK45" s="391"/>
      <c r="AL45" s="390"/>
      <c r="AM45" s="391"/>
      <c r="AN45" s="391"/>
      <c r="AO45" s="390"/>
      <c r="AP45" s="391"/>
      <c r="AQ45" s="391"/>
      <c r="AR45" s="390"/>
      <c r="AS45" s="391"/>
      <c r="AT45" s="391"/>
      <c r="AU45" s="390"/>
    </row>
    <row r="46" spans="1:47" s="6" customFormat="1" ht="45" customHeight="1" hidden="1" outlineLevel="1">
      <c r="A46" s="574"/>
      <c r="B46" s="381" t="s">
        <v>320</v>
      </c>
      <c r="C46" s="379">
        <v>886</v>
      </c>
      <c r="D46" s="547" t="s">
        <v>34</v>
      </c>
      <c r="E46" s="379"/>
      <c r="F46" s="547" t="s">
        <v>385</v>
      </c>
      <c r="G46" s="381"/>
      <c r="H46" s="381" t="s">
        <v>26</v>
      </c>
      <c r="I46" s="382"/>
      <c r="J46" s="592" t="s">
        <v>386</v>
      </c>
      <c r="K46" s="598">
        <v>1</v>
      </c>
      <c r="L46" s="598">
        <v>0.44</v>
      </c>
      <c r="M46" s="575">
        <v>70609000</v>
      </c>
      <c r="N46" s="550">
        <v>141665000</v>
      </c>
      <c r="O46" s="551">
        <v>77638000</v>
      </c>
      <c r="P46" s="551">
        <f>1282133+7058000</f>
        <v>8340133</v>
      </c>
      <c r="Q46" s="552">
        <v>0</v>
      </c>
      <c r="R46" s="551">
        <v>0</v>
      </c>
      <c r="S46" s="594" t="s">
        <v>387</v>
      </c>
      <c r="T46" s="389"/>
      <c r="U46" s="387">
        <f t="shared" si="12"/>
        <v>141665000</v>
      </c>
      <c r="V46" s="387">
        <f t="shared" si="12"/>
        <v>77638000</v>
      </c>
      <c r="W46" s="390">
        <f t="shared" si="13"/>
        <v>0.5480393886986906</v>
      </c>
      <c r="X46" s="391"/>
      <c r="Y46" s="391"/>
      <c r="Z46" s="390"/>
      <c r="AA46" s="391"/>
      <c r="AB46" s="391"/>
      <c r="AC46" s="390"/>
      <c r="AD46" s="391"/>
      <c r="AE46" s="391"/>
      <c r="AF46" s="390"/>
      <c r="AG46" s="391"/>
      <c r="AH46" s="391"/>
      <c r="AI46" s="390"/>
      <c r="AJ46" s="391"/>
      <c r="AK46" s="391"/>
      <c r="AL46" s="390"/>
      <c r="AM46" s="391"/>
      <c r="AN46" s="391"/>
      <c r="AO46" s="390"/>
      <c r="AP46" s="391"/>
      <c r="AQ46" s="391"/>
      <c r="AR46" s="390"/>
      <c r="AS46" s="391"/>
      <c r="AT46" s="391"/>
      <c r="AU46" s="390"/>
    </row>
    <row r="47" spans="1:47" s="6" customFormat="1" ht="45" customHeight="1" hidden="1" outlineLevel="1">
      <c r="A47" s="574"/>
      <c r="B47" s="381" t="s">
        <v>320</v>
      </c>
      <c r="C47" s="379">
        <v>886</v>
      </c>
      <c r="D47" s="547" t="s">
        <v>34</v>
      </c>
      <c r="E47" s="379"/>
      <c r="F47" s="547" t="s">
        <v>388</v>
      </c>
      <c r="G47" s="381"/>
      <c r="H47" s="381" t="s">
        <v>26</v>
      </c>
      <c r="I47" s="382"/>
      <c r="J47" s="381" t="s">
        <v>389</v>
      </c>
      <c r="K47" s="598">
        <v>1</v>
      </c>
      <c r="L47" s="598">
        <v>0.482</v>
      </c>
      <c r="M47" s="575">
        <v>175000000</v>
      </c>
      <c r="N47" s="550">
        <v>100000000</v>
      </c>
      <c r="O47" s="551">
        <v>0</v>
      </c>
      <c r="P47" s="551">
        <v>0</v>
      </c>
      <c r="Q47" s="552">
        <v>0</v>
      </c>
      <c r="R47" s="551">
        <v>0</v>
      </c>
      <c r="S47" s="553" t="s">
        <v>390</v>
      </c>
      <c r="T47" s="389"/>
      <c r="U47" s="387">
        <f t="shared" si="12"/>
        <v>100000000</v>
      </c>
      <c r="V47" s="387">
        <f t="shared" si="12"/>
        <v>0</v>
      </c>
      <c r="W47" s="390">
        <f t="shared" si="13"/>
        <v>0</v>
      </c>
      <c r="X47" s="391"/>
      <c r="Y47" s="391"/>
      <c r="Z47" s="390"/>
      <c r="AA47" s="391"/>
      <c r="AB47" s="391"/>
      <c r="AC47" s="390"/>
      <c r="AD47" s="391"/>
      <c r="AE47" s="391"/>
      <c r="AF47" s="390"/>
      <c r="AG47" s="391"/>
      <c r="AH47" s="391"/>
      <c r="AI47" s="390"/>
      <c r="AJ47" s="391"/>
      <c r="AK47" s="391"/>
      <c r="AL47" s="390"/>
      <c r="AM47" s="391"/>
      <c r="AN47" s="391"/>
      <c r="AO47" s="390"/>
      <c r="AP47" s="391"/>
      <c r="AQ47" s="391"/>
      <c r="AR47" s="390"/>
      <c r="AS47" s="391"/>
      <c r="AT47" s="391"/>
      <c r="AU47" s="390"/>
    </row>
    <row r="48" spans="1:47" s="6" customFormat="1" ht="45" customHeight="1" hidden="1" outlineLevel="1">
      <c r="A48" s="574"/>
      <c r="B48" s="381" t="s">
        <v>320</v>
      </c>
      <c r="C48" s="379">
        <v>886</v>
      </c>
      <c r="D48" s="547" t="s">
        <v>34</v>
      </c>
      <c r="E48" s="379"/>
      <c r="F48" s="547" t="s">
        <v>391</v>
      </c>
      <c r="G48" s="381"/>
      <c r="H48" s="381" t="s">
        <v>26</v>
      </c>
      <c r="I48" s="382"/>
      <c r="J48" s="381" t="s">
        <v>389</v>
      </c>
      <c r="K48" s="598">
        <v>1</v>
      </c>
      <c r="L48" s="598">
        <v>0.43</v>
      </c>
      <c r="M48" s="575">
        <v>0</v>
      </c>
      <c r="N48" s="550">
        <v>0</v>
      </c>
      <c r="O48" s="551">
        <v>0</v>
      </c>
      <c r="P48" s="551">
        <v>0</v>
      </c>
      <c r="Q48" s="552">
        <v>0</v>
      </c>
      <c r="R48" s="551">
        <v>0</v>
      </c>
      <c r="S48" s="594" t="s">
        <v>392</v>
      </c>
      <c r="T48" s="599"/>
      <c r="U48" s="387">
        <f t="shared" si="12"/>
        <v>0</v>
      </c>
      <c r="V48" s="387">
        <f t="shared" si="12"/>
        <v>0</v>
      </c>
      <c r="W48" s="390" t="e">
        <f t="shared" si="13"/>
        <v>#DIV/0!</v>
      </c>
      <c r="X48" s="391"/>
      <c r="Y48" s="391"/>
      <c r="Z48" s="390"/>
      <c r="AA48" s="391"/>
      <c r="AB48" s="391"/>
      <c r="AC48" s="390"/>
      <c r="AD48" s="391"/>
      <c r="AE48" s="391"/>
      <c r="AF48" s="390"/>
      <c r="AG48" s="391"/>
      <c r="AH48" s="391"/>
      <c r="AI48" s="390"/>
      <c r="AJ48" s="391"/>
      <c r="AK48" s="391"/>
      <c r="AL48" s="390"/>
      <c r="AM48" s="391"/>
      <c r="AN48" s="391"/>
      <c r="AO48" s="390"/>
      <c r="AP48" s="391"/>
      <c r="AQ48" s="391"/>
      <c r="AR48" s="390"/>
      <c r="AS48" s="391"/>
      <c r="AT48" s="391"/>
      <c r="AU48" s="390"/>
    </row>
    <row r="49" spans="1:47" s="6" customFormat="1" ht="45" customHeight="1" hidden="1" outlineLevel="1">
      <c r="A49" s="574"/>
      <c r="B49" s="381" t="s">
        <v>320</v>
      </c>
      <c r="C49" s="379">
        <v>886</v>
      </c>
      <c r="D49" s="547" t="s">
        <v>34</v>
      </c>
      <c r="E49" s="379"/>
      <c r="F49" s="547" t="s">
        <v>393</v>
      </c>
      <c r="G49" s="381"/>
      <c r="H49" s="381" t="s">
        <v>26</v>
      </c>
      <c r="I49" s="382"/>
      <c r="J49" s="381" t="s">
        <v>389</v>
      </c>
      <c r="K49" s="598">
        <v>1</v>
      </c>
      <c r="L49" s="598">
        <v>1</v>
      </c>
      <c r="M49" s="550">
        <v>25000000</v>
      </c>
      <c r="N49" s="550">
        <v>22678000</v>
      </c>
      <c r="O49" s="551">
        <v>0</v>
      </c>
      <c r="P49" s="551">
        <v>0</v>
      </c>
      <c r="Q49" s="552">
        <v>0</v>
      </c>
      <c r="R49" s="551">
        <v>0</v>
      </c>
      <c r="S49" s="594" t="s">
        <v>394</v>
      </c>
      <c r="T49" s="389"/>
      <c r="U49" s="387">
        <f t="shared" si="12"/>
        <v>22678000</v>
      </c>
      <c r="V49" s="387">
        <f t="shared" si="12"/>
        <v>0</v>
      </c>
      <c r="W49" s="390">
        <f t="shared" si="13"/>
        <v>0</v>
      </c>
      <c r="X49" s="391"/>
      <c r="Y49" s="391"/>
      <c r="Z49" s="390"/>
      <c r="AA49" s="391"/>
      <c r="AB49" s="391"/>
      <c r="AC49" s="390"/>
      <c r="AD49" s="391"/>
      <c r="AE49" s="391"/>
      <c r="AF49" s="390"/>
      <c r="AG49" s="391"/>
      <c r="AH49" s="391"/>
      <c r="AI49" s="390"/>
      <c r="AJ49" s="391"/>
      <c r="AK49" s="391"/>
      <c r="AL49" s="390"/>
      <c r="AM49" s="391"/>
      <c r="AN49" s="391"/>
      <c r="AO49" s="390"/>
      <c r="AP49" s="391"/>
      <c r="AQ49" s="391"/>
      <c r="AR49" s="390"/>
      <c r="AS49" s="391"/>
      <c r="AT49" s="391"/>
      <c r="AU49" s="390"/>
    </row>
    <row r="50" spans="1:47" s="568" customFormat="1" ht="15" customHeight="1" outlineLevel="2">
      <c r="A50" s="557"/>
      <c r="B50" s="557"/>
      <c r="C50" s="558"/>
      <c r="D50" s="558">
        <v>7</v>
      </c>
      <c r="E50" s="558"/>
      <c r="F50" s="559"/>
      <c r="G50" s="559"/>
      <c r="H50" s="559"/>
      <c r="I50" s="559"/>
      <c r="J50" s="558"/>
      <c r="K50" s="600"/>
      <c r="L50" s="584"/>
      <c r="M50" s="561">
        <f aca="true" t="shared" si="14" ref="M50:R50">SUM(M44:M49)</f>
        <v>448463000</v>
      </c>
      <c r="N50" s="561">
        <f t="shared" si="14"/>
        <v>462348000</v>
      </c>
      <c r="O50" s="562">
        <f t="shared" si="14"/>
        <v>275170000</v>
      </c>
      <c r="P50" s="562">
        <f t="shared" si="14"/>
        <v>42120166</v>
      </c>
      <c r="Q50" s="562">
        <f t="shared" si="14"/>
        <v>62680400</v>
      </c>
      <c r="R50" s="562">
        <f t="shared" si="14"/>
        <v>55305500</v>
      </c>
      <c r="S50" s="591"/>
      <c r="T50" s="564"/>
      <c r="U50" s="566">
        <f>SUM(U44:U49)</f>
        <v>462348000</v>
      </c>
      <c r="V50" s="566">
        <f>SUM(V44:V49)</f>
        <v>275170000</v>
      </c>
      <c r="W50" s="566" t="e">
        <f>SUM(W44:W49)</f>
        <v>#DIV/0!</v>
      </c>
      <c r="X50" s="558"/>
      <c r="Y50" s="558"/>
      <c r="Z50" s="567"/>
      <c r="AA50" s="558"/>
      <c r="AB50" s="558"/>
      <c r="AC50" s="567"/>
      <c r="AD50" s="558"/>
      <c r="AE50" s="558"/>
      <c r="AF50" s="567"/>
      <c r="AG50" s="558"/>
      <c r="AH50" s="558"/>
      <c r="AI50" s="567"/>
      <c r="AJ50" s="558"/>
      <c r="AK50" s="558"/>
      <c r="AL50" s="567"/>
      <c r="AM50" s="558"/>
      <c r="AN50" s="558"/>
      <c r="AO50" s="567"/>
      <c r="AP50" s="558"/>
      <c r="AQ50" s="558"/>
      <c r="AR50" s="567"/>
      <c r="AS50" s="558"/>
      <c r="AT50" s="558"/>
      <c r="AU50" s="567"/>
    </row>
    <row r="51" spans="1:47" s="403" customFormat="1" ht="18" customHeight="1">
      <c r="A51" s="395" t="s">
        <v>266</v>
      </c>
      <c r="B51" s="395"/>
      <c r="C51" s="396"/>
      <c r="D51" s="396"/>
      <c r="E51" s="396"/>
      <c r="F51" s="397"/>
      <c r="G51" s="397"/>
      <c r="H51" s="397"/>
      <c r="I51" s="397"/>
      <c r="J51" s="396"/>
      <c r="K51" s="398"/>
      <c r="L51" s="601"/>
      <c r="M51" s="400">
        <f aca="true" t="shared" si="15" ref="M51:R51">+M16+M21+M24+M35+M39+M43+M50</f>
        <v>7894820000</v>
      </c>
      <c r="N51" s="400">
        <f t="shared" si="15"/>
        <v>7894820000</v>
      </c>
      <c r="O51" s="400">
        <f t="shared" si="15"/>
        <v>5848057920</v>
      </c>
      <c r="P51" s="400">
        <f t="shared" si="15"/>
        <v>949524737</v>
      </c>
      <c r="Q51" s="400">
        <f>+Q16+Q21+Q24+Q35+Q39+Q43+Q50</f>
        <v>1247933437</v>
      </c>
      <c r="R51" s="400">
        <f t="shared" si="15"/>
        <v>1079405928</v>
      </c>
      <c r="S51" s="400">
        <f>SUBTOTAL(9,S15:S50)</f>
        <v>0</v>
      </c>
      <c r="T51" s="400">
        <f>SUBTOTAL(9,T15:T50)</f>
        <v>0</v>
      </c>
      <c r="U51" s="400">
        <f>+U16+U21+U24+U35+U39+U43+U50</f>
        <v>7894820000</v>
      </c>
      <c r="V51" s="400">
        <f>+V16+V21+V24+V35+V39+V43+V50</f>
        <v>5848057920</v>
      </c>
      <c r="W51" s="402"/>
      <c r="X51" s="400">
        <f>SUBTOTAL(9,X15:X50)</f>
        <v>0</v>
      </c>
      <c r="Y51" s="400">
        <f>SUBTOTAL(9,Y15:Y50)</f>
        <v>0</v>
      </c>
      <c r="Z51" s="400"/>
      <c r="AA51" s="400">
        <f>SUBTOTAL(9,AA15:AA50)</f>
        <v>0</v>
      </c>
      <c r="AB51" s="400">
        <f>SUBTOTAL(9,AB15:AB50)</f>
        <v>0</v>
      </c>
      <c r="AC51" s="400"/>
      <c r="AD51" s="400">
        <f>SUBTOTAL(9,AD15:AD50)</f>
        <v>0</v>
      </c>
      <c r="AE51" s="400">
        <f>SUBTOTAL(9,AE15:AE50)</f>
        <v>0</v>
      </c>
      <c r="AF51" s="400"/>
      <c r="AG51" s="400">
        <f>SUBTOTAL(9,AG15:AG50)</f>
        <v>0</v>
      </c>
      <c r="AH51" s="400">
        <f>SUBTOTAL(9,AH15:AH50)</f>
        <v>0</v>
      </c>
      <c r="AI51" s="400"/>
      <c r="AJ51" s="400">
        <f>SUBTOTAL(9,AJ15:AJ50)</f>
        <v>0</v>
      </c>
      <c r="AK51" s="400">
        <f>SUBTOTAL(9,AK15:AK50)</f>
        <v>0</v>
      </c>
      <c r="AL51" s="400"/>
      <c r="AM51" s="400">
        <f>SUBTOTAL(9,AM15:AM50)</f>
        <v>0</v>
      </c>
      <c r="AN51" s="400">
        <f>SUBTOTAL(9,AN15:AN50)</f>
        <v>0</v>
      </c>
      <c r="AO51" s="400"/>
      <c r="AP51" s="400">
        <f>SUBTOTAL(9,AP15:AP50)</f>
        <v>0</v>
      </c>
      <c r="AQ51" s="400">
        <f>SUBTOTAL(9,AQ15:AQ50)</f>
        <v>0</v>
      </c>
      <c r="AR51" s="400"/>
      <c r="AS51" s="400">
        <f>SUBTOTAL(9,AS15:AS50)</f>
        <v>0</v>
      </c>
      <c r="AT51" s="400">
        <f>SUBTOTAL(9,AT15:AT50)</f>
        <v>0</v>
      </c>
      <c r="AU51" s="400"/>
    </row>
    <row r="52" spans="13:22" ht="18" customHeight="1" hidden="1">
      <c r="M52" s="404"/>
      <c r="N52" s="404">
        <f>+N51-M51</f>
        <v>0</v>
      </c>
      <c r="O52" s="602"/>
      <c r="P52" s="602"/>
      <c r="Q52" s="602"/>
      <c r="R52" s="602">
        <v>1027863194</v>
      </c>
      <c r="U52" s="407"/>
      <c r="V52" s="407">
        <f>+O52</f>
        <v>0</v>
      </c>
    </row>
    <row r="53" spans="13:22" ht="21" customHeight="1" hidden="1">
      <c r="M53" s="404"/>
      <c r="N53" s="404"/>
      <c r="O53" s="602"/>
      <c r="P53" s="602"/>
      <c r="Q53" s="602"/>
      <c r="R53" s="602"/>
      <c r="U53" s="407"/>
      <c r="V53" s="603">
        <f>+V51-V52</f>
        <v>5848057920</v>
      </c>
    </row>
    <row r="54" spans="14:22" ht="21" customHeight="1">
      <c r="N54" s="408"/>
      <c r="O54" s="604"/>
      <c r="P54" s="605"/>
      <c r="R54" s="605"/>
      <c r="U54" s="407"/>
      <c r="V54" s="407"/>
    </row>
    <row r="55" spans="14:18" ht="21" customHeight="1">
      <c r="N55" s="411"/>
      <c r="O55" s="606"/>
      <c r="P55" s="606"/>
      <c r="R55" s="606"/>
    </row>
    <row r="57" ht="21" customHeight="1">
      <c r="P57" s="606"/>
    </row>
    <row r="58" ht="21" customHeight="1">
      <c r="N58" s="411"/>
    </row>
    <row r="59" ht="21" customHeight="1">
      <c r="N59" s="411"/>
    </row>
    <row r="60" ht="21" customHeight="1">
      <c r="N60" s="411"/>
    </row>
    <row r="61" ht="21" customHeight="1">
      <c r="N61" s="411"/>
    </row>
    <row r="62" ht="21" customHeight="1">
      <c r="N62" s="411"/>
    </row>
    <row r="63" ht="21" customHeight="1">
      <c r="N63" s="411"/>
    </row>
    <row r="64" ht="21" customHeight="1">
      <c r="O64" s="606"/>
    </row>
    <row r="66" ht="21" customHeight="1">
      <c r="O66" s="606">
        <f>+O34-'[5]Actividades'!$O$34</f>
        <v>0</v>
      </c>
    </row>
  </sheetData>
  <sheetProtection/>
  <mergeCells count="32">
    <mergeCell ref="AM11:AO11"/>
    <mergeCell ref="AP11:AR11"/>
    <mergeCell ref="AS11:AU11"/>
    <mergeCell ref="T36:T38"/>
    <mergeCell ref="U11:W11"/>
    <mergeCell ref="X11:Z11"/>
    <mergeCell ref="AA11:AC11"/>
    <mergeCell ref="AD11:AF11"/>
    <mergeCell ref="AG11:AI11"/>
    <mergeCell ref="AJ11:AL11"/>
    <mergeCell ref="K11:L11"/>
    <mergeCell ref="M11:N11"/>
    <mergeCell ref="O11:P11"/>
    <mergeCell ref="Q11:R11"/>
    <mergeCell ref="S11:S12"/>
    <mergeCell ref="T11:T12"/>
    <mergeCell ref="AB1:AE8"/>
    <mergeCell ref="AH1:AJ8"/>
    <mergeCell ref="AK1:AR8"/>
    <mergeCell ref="AS1:AV8"/>
    <mergeCell ref="AW1:AY8"/>
    <mergeCell ref="B11:B12"/>
    <mergeCell ref="C11:C12"/>
    <mergeCell ref="E11:E12"/>
    <mergeCell ref="F11:F12"/>
    <mergeCell ref="G11:I11"/>
    <mergeCell ref="A1:C8"/>
    <mergeCell ref="D1:I8"/>
    <mergeCell ref="J1:M8"/>
    <mergeCell ref="N1:O8"/>
    <mergeCell ref="P1:R8"/>
    <mergeCell ref="S1:AA8"/>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CE340"/>
  <sheetViews>
    <sheetView showGridLines="0" zoomScalePageLayoutView="0" workbookViewId="0" topLeftCell="H10">
      <selection activeCell="I32" sqref="I32:I47"/>
    </sheetView>
  </sheetViews>
  <sheetFormatPr defaultColWidth="11.421875" defaultRowHeight="15"/>
  <cols>
    <col min="1" max="1" width="3.00390625" style="5" hidden="1" customWidth="1"/>
    <col min="2" max="3" width="2.57421875" style="5" hidden="1" customWidth="1"/>
    <col min="4" max="4" width="3.140625" style="5" hidden="1" customWidth="1"/>
    <col min="5" max="5" width="3.7109375" style="5" hidden="1" customWidth="1"/>
    <col min="6" max="6" width="6.28125" style="5" hidden="1" customWidth="1"/>
    <col min="7" max="7" width="7.421875" style="5" hidden="1" customWidth="1"/>
    <col min="8" max="8" width="9.28125" style="6" customWidth="1"/>
    <col min="9" max="9" width="40.7109375" style="6" customWidth="1"/>
    <col min="10" max="10" width="6.28125" style="6" customWidth="1"/>
    <col min="11" max="12" width="5.57421875" style="6" customWidth="1"/>
    <col min="13" max="13" width="7.7109375" style="6" customWidth="1"/>
    <col min="14" max="14" width="19.7109375" style="6" customWidth="1"/>
    <col min="15" max="15" width="11.7109375" style="6" customWidth="1"/>
    <col min="16" max="16" width="12.57421875" style="6" customWidth="1"/>
    <col min="17" max="17" width="21.00390625" style="5" bestFit="1" customWidth="1"/>
    <col min="18" max="18" width="21.140625" style="5" customWidth="1"/>
    <col min="19" max="19" width="21.8515625" style="5" customWidth="1"/>
    <col min="20" max="20" width="19.7109375" style="5" customWidth="1"/>
    <col min="21" max="22" width="16.8515625" style="5" customWidth="1"/>
    <col min="23" max="27" width="50.7109375" style="5" customWidth="1"/>
    <col min="28" max="28" width="35.28125" style="5" customWidth="1"/>
    <col min="29" max="44" width="10.7109375" style="5" customWidth="1"/>
    <col min="45" max="47" width="11.421875" style="5" customWidth="1"/>
    <col min="48" max="48" width="5.57421875" style="5" customWidth="1"/>
    <col min="49" max="56" width="11.421875" style="5" customWidth="1"/>
    <col min="57" max="58" width="14.8515625" style="5" customWidth="1"/>
    <col min="59" max="59" width="14.421875" style="5" customWidth="1"/>
    <col min="60" max="60" width="18.00390625" style="5" customWidth="1"/>
    <col min="61" max="62" width="14.00390625" style="5" customWidth="1"/>
    <col min="63" max="65" width="11.421875" style="5" customWidth="1"/>
    <col min="66" max="83" width="11.421875" style="6" customWidth="1"/>
    <col min="84" max="16384" width="11.421875" style="5" customWidth="1"/>
  </cols>
  <sheetData>
    <row r="1" spans="1:44" s="244" customFormat="1" ht="14.25" customHeight="1">
      <c r="A1" s="228"/>
      <c r="B1" s="229"/>
      <c r="C1" s="229"/>
      <c r="D1" s="230"/>
      <c r="E1" s="231" t="s">
        <v>189</v>
      </c>
      <c r="F1" s="232"/>
      <c r="G1" s="232"/>
      <c r="H1" s="232"/>
      <c r="I1" s="232"/>
      <c r="J1" s="232"/>
      <c r="K1" s="232"/>
      <c r="L1" s="232"/>
      <c r="M1" s="232"/>
      <c r="N1" s="233"/>
      <c r="O1" s="234" t="s">
        <v>190</v>
      </c>
      <c r="P1" s="235"/>
      <c r="Q1" s="235"/>
      <c r="R1" s="236"/>
      <c r="S1" s="237"/>
      <c r="T1" s="238"/>
      <c r="U1" s="238"/>
      <c r="V1" s="239"/>
      <c r="W1" s="237"/>
      <c r="X1" s="238"/>
      <c r="Y1" s="240"/>
      <c r="Z1" s="241" t="s">
        <v>191</v>
      </c>
      <c r="AA1" s="242"/>
      <c r="AB1" s="242"/>
      <c r="AC1" s="242"/>
      <c r="AD1" s="242"/>
      <c r="AE1" s="242"/>
      <c r="AF1" s="242"/>
      <c r="AG1" s="242"/>
      <c r="AH1" s="242"/>
      <c r="AI1" s="242"/>
      <c r="AJ1" s="243"/>
      <c r="AK1" s="234" t="s">
        <v>190</v>
      </c>
      <c r="AL1" s="235"/>
      <c r="AM1" s="235"/>
      <c r="AN1" s="236"/>
      <c r="AO1" s="237"/>
      <c r="AP1" s="238"/>
      <c r="AQ1" s="238"/>
      <c r="AR1" s="239"/>
    </row>
    <row r="2" spans="1:44" s="244" customFormat="1" ht="15" customHeight="1">
      <c r="A2" s="245"/>
      <c r="B2" s="246"/>
      <c r="C2" s="246"/>
      <c r="D2" s="247"/>
      <c r="E2" s="248"/>
      <c r="F2" s="249"/>
      <c r="G2" s="249"/>
      <c r="H2" s="249"/>
      <c r="I2" s="249"/>
      <c r="J2" s="249"/>
      <c r="K2" s="249"/>
      <c r="L2" s="249"/>
      <c r="M2" s="249"/>
      <c r="N2" s="250"/>
      <c r="O2" s="251"/>
      <c r="P2" s="252"/>
      <c r="Q2" s="252"/>
      <c r="R2" s="253"/>
      <c r="S2" s="254"/>
      <c r="T2" s="255"/>
      <c r="U2" s="255"/>
      <c r="V2" s="256"/>
      <c r="W2" s="254"/>
      <c r="X2" s="255"/>
      <c r="Y2" s="257"/>
      <c r="Z2" s="258"/>
      <c r="AA2" s="259"/>
      <c r="AB2" s="259"/>
      <c r="AC2" s="259"/>
      <c r="AD2" s="259"/>
      <c r="AE2" s="259"/>
      <c r="AF2" s="259"/>
      <c r="AG2" s="259"/>
      <c r="AH2" s="259"/>
      <c r="AI2" s="259"/>
      <c r="AJ2" s="260"/>
      <c r="AK2" s="251"/>
      <c r="AL2" s="252"/>
      <c r="AM2" s="252"/>
      <c r="AN2" s="253"/>
      <c r="AO2" s="254"/>
      <c r="AP2" s="255"/>
      <c r="AQ2" s="255"/>
      <c r="AR2" s="256"/>
    </row>
    <row r="3" spans="1:44" s="244" customFormat="1" ht="15" customHeight="1">
      <c r="A3" s="245"/>
      <c r="B3" s="246"/>
      <c r="C3" s="246"/>
      <c r="D3" s="247"/>
      <c r="E3" s="248"/>
      <c r="F3" s="249"/>
      <c r="G3" s="249"/>
      <c r="H3" s="249"/>
      <c r="I3" s="249"/>
      <c r="J3" s="249"/>
      <c r="K3" s="249"/>
      <c r="L3" s="249"/>
      <c r="M3" s="249"/>
      <c r="N3" s="250"/>
      <c r="O3" s="251"/>
      <c r="P3" s="252"/>
      <c r="Q3" s="252"/>
      <c r="R3" s="253"/>
      <c r="S3" s="254"/>
      <c r="T3" s="255"/>
      <c r="U3" s="255"/>
      <c r="V3" s="256"/>
      <c r="W3" s="254"/>
      <c r="X3" s="255"/>
      <c r="Y3" s="257"/>
      <c r="Z3" s="258"/>
      <c r="AA3" s="259"/>
      <c r="AB3" s="259"/>
      <c r="AC3" s="259"/>
      <c r="AD3" s="259"/>
      <c r="AE3" s="259"/>
      <c r="AF3" s="259"/>
      <c r="AG3" s="259"/>
      <c r="AH3" s="259"/>
      <c r="AI3" s="259"/>
      <c r="AJ3" s="260"/>
      <c r="AK3" s="251"/>
      <c r="AL3" s="252"/>
      <c r="AM3" s="252"/>
      <c r="AN3" s="253"/>
      <c r="AO3" s="254"/>
      <c r="AP3" s="255"/>
      <c r="AQ3" s="255"/>
      <c r="AR3" s="256"/>
    </row>
    <row r="4" spans="1:44" s="244" customFormat="1" ht="15" customHeight="1">
      <c r="A4" s="245"/>
      <c r="B4" s="246"/>
      <c r="C4" s="246"/>
      <c r="D4" s="247"/>
      <c r="E4" s="248"/>
      <c r="F4" s="249"/>
      <c r="G4" s="249"/>
      <c r="H4" s="249"/>
      <c r="I4" s="249"/>
      <c r="J4" s="249"/>
      <c r="K4" s="249"/>
      <c r="L4" s="249"/>
      <c r="M4" s="249"/>
      <c r="N4" s="250"/>
      <c r="O4" s="251"/>
      <c r="P4" s="252"/>
      <c r="Q4" s="252"/>
      <c r="R4" s="253"/>
      <c r="S4" s="254"/>
      <c r="T4" s="255"/>
      <c r="U4" s="255"/>
      <c r="V4" s="256"/>
      <c r="W4" s="254"/>
      <c r="X4" s="255"/>
      <c r="Y4" s="257"/>
      <c r="Z4" s="258"/>
      <c r="AA4" s="259"/>
      <c r="AB4" s="259"/>
      <c r="AC4" s="259"/>
      <c r="AD4" s="259"/>
      <c r="AE4" s="259"/>
      <c r="AF4" s="259"/>
      <c r="AG4" s="259"/>
      <c r="AH4" s="259"/>
      <c r="AI4" s="259"/>
      <c r="AJ4" s="260"/>
      <c r="AK4" s="251"/>
      <c r="AL4" s="252"/>
      <c r="AM4" s="252"/>
      <c r="AN4" s="253"/>
      <c r="AO4" s="254"/>
      <c r="AP4" s="255"/>
      <c r="AQ4" s="255"/>
      <c r="AR4" s="256"/>
    </row>
    <row r="5" spans="1:44" s="244" customFormat="1" ht="15" customHeight="1">
      <c r="A5" s="245"/>
      <c r="B5" s="246"/>
      <c r="C5" s="246"/>
      <c r="D5" s="247"/>
      <c r="E5" s="248"/>
      <c r="F5" s="249"/>
      <c r="G5" s="249"/>
      <c r="H5" s="249"/>
      <c r="I5" s="249"/>
      <c r="J5" s="249"/>
      <c r="K5" s="249"/>
      <c r="L5" s="249"/>
      <c r="M5" s="249"/>
      <c r="N5" s="250"/>
      <c r="O5" s="251"/>
      <c r="P5" s="252"/>
      <c r="Q5" s="252"/>
      <c r="R5" s="253"/>
      <c r="S5" s="254"/>
      <c r="T5" s="255"/>
      <c r="U5" s="255"/>
      <c r="V5" s="256"/>
      <c r="W5" s="254"/>
      <c r="X5" s="255"/>
      <c r="Y5" s="257"/>
      <c r="Z5" s="258"/>
      <c r="AA5" s="259"/>
      <c r="AB5" s="259"/>
      <c r="AC5" s="259"/>
      <c r="AD5" s="259"/>
      <c r="AE5" s="259"/>
      <c r="AF5" s="259"/>
      <c r="AG5" s="259"/>
      <c r="AH5" s="259"/>
      <c r="AI5" s="259"/>
      <c r="AJ5" s="260"/>
      <c r="AK5" s="251"/>
      <c r="AL5" s="252"/>
      <c r="AM5" s="252"/>
      <c r="AN5" s="253"/>
      <c r="AO5" s="254"/>
      <c r="AP5" s="255"/>
      <c r="AQ5" s="255"/>
      <c r="AR5" s="256"/>
    </row>
    <row r="6" spans="1:44" s="244" customFormat="1" ht="15" customHeight="1">
      <c r="A6" s="245"/>
      <c r="B6" s="246"/>
      <c r="C6" s="246"/>
      <c r="D6" s="247"/>
      <c r="E6" s="248"/>
      <c r="F6" s="249"/>
      <c r="G6" s="249"/>
      <c r="H6" s="249"/>
      <c r="I6" s="249"/>
      <c r="J6" s="249"/>
      <c r="K6" s="249"/>
      <c r="L6" s="249"/>
      <c r="M6" s="249"/>
      <c r="N6" s="250"/>
      <c r="O6" s="251"/>
      <c r="P6" s="252"/>
      <c r="Q6" s="252"/>
      <c r="R6" s="253"/>
      <c r="S6" s="254"/>
      <c r="T6" s="255"/>
      <c r="U6" s="255"/>
      <c r="V6" s="256"/>
      <c r="W6" s="254"/>
      <c r="X6" s="255"/>
      <c r="Y6" s="257"/>
      <c r="Z6" s="258"/>
      <c r="AA6" s="259"/>
      <c r="AB6" s="259"/>
      <c r="AC6" s="259"/>
      <c r="AD6" s="259"/>
      <c r="AE6" s="259"/>
      <c r="AF6" s="259"/>
      <c r="AG6" s="259"/>
      <c r="AH6" s="259"/>
      <c r="AI6" s="259"/>
      <c r="AJ6" s="260"/>
      <c r="AK6" s="251"/>
      <c r="AL6" s="252"/>
      <c r="AM6" s="252"/>
      <c r="AN6" s="253"/>
      <c r="AO6" s="254"/>
      <c r="AP6" s="255"/>
      <c r="AQ6" s="255"/>
      <c r="AR6" s="256"/>
    </row>
    <row r="7" spans="1:44" s="244" customFormat="1" ht="15" customHeight="1">
      <c r="A7" s="245"/>
      <c r="B7" s="246"/>
      <c r="C7" s="246"/>
      <c r="D7" s="247"/>
      <c r="E7" s="248"/>
      <c r="F7" s="249"/>
      <c r="G7" s="249"/>
      <c r="H7" s="249"/>
      <c r="I7" s="249"/>
      <c r="J7" s="249"/>
      <c r="K7" s="249"/>
      <c r="L7" s="249"/>
      <c r="M7" s="249"/>
      <c r="N7" s="250"/>
      <c r="O7" s="251"/>
      <c r="P7" s="252"/>
      <c r="Q7" s="252"/>
      <c r="R7" s="253"/>
      <c r="S7" s="254"/>
      <c r="T7" s="255"/>
      <c r="U7" s="255"/>
      <c r="V7" s="256"/>
      <c r="W7" s="254"/>
      <c r="X7" s="255"/>
      <c r="Y7" s="257"/>
      <c r="Z7" s="258"/>
      <c r="AA7" s="259"/>
      <c r="AB7" s="259"/>
      <c r="AC7" s="259"/>
      <c r="AD7" s="259"/>
      <c r="AE7" s="259"/>
      <c r="AF7" s="259"/>
      <c r="AG7" s="259"/>
      <c r="AH7" s="259"/>
      <c r="AI7" s="259"/>
      <c r="AJ7" s="260"/>
      <c r="AK7" s="251"/>
      <c r="AL7" s="252"/>
      <c r="AM7" s="252"/>
      <c r="AN7" s="253"/>
      <c r="AO7" s="254"/>
      <c r="AP7" s="255"/>
      <c r="AQ7" s="255"/>
      <c r="AR7" s="256"/>
    </row>
    <row r="8" spans="1:44" s="244" customFormat="1" ht="27" customHeight="1" thickBot="1">
      <c r="A8" s="261"/>
      <c r="B8" s="262"/>
      <c r="C8" s="262"/>
      <c r="D8" s="263"/>
      <c r="E8" s="264"/>
      <c r="F8" s="265"/>
      <c r="G8" s="265"/>
      <c r="H8" s="265"/>
      <c r="I8" s="265"/>
      <c r="J8" s="265"/>
      <c r="K8" s="265"/>
      <c r="L8" s="265"/>
      <c r="M8" s="265"/>
      <c r="N8" s="266"/>
      <c r="O8" s="267"/>
      <c r="P8" s="268"/>
      <c r="Q8" s="268"/>
      <c r="R8" s="269"/>
      <c r="S8" s="270"/>
      <c r="T8" s="271"/>
      <c r="U8" s="271"/>
      <c r="V8" s="272"/>
      <c r="W8" s="270"/>
      <c r="X8" s="271"/>
      <c r="Y8" s="273"/>
      <c r="Z8" s="274"/>
      <c r="AA8" s="275"/>
      <c r="AB8" s="275"/>
      <c r="AC8" s="275"/>
      <c r="AD8" s="275"/>
      <c r="AE8" s="275"/>
      <c r="AF8" s="275"/>
      <c r="AG8" s="275"/>
      <c r="AH8" s="275"/>
      <c r="AI8" s="275"/>
      <c r="AJ8" s="276"/>
      <c r="AK8" s="267"/>
      <c r="AL8" s="268"/>
      <c r="AM8" s="268"/>
      <c r="AN8" s="269"/>
      <c r="AO8" s="270"/>
      <c r="AP8" s="271"/>
      <c r="AQ8" s="271"/>
      <c r="AR8" s="272"/>
    </row>
    <row r="9" ht="15"/>
    <row r="10" spans="9:10" ht="15">
      <c r="I10" s="413" t="s">
        <v>192</v>
      </c>
      <c r="J10" s="413"/>
    </row>
    <row r="11" spans="9:10" ht="15">
      <c r="I11" s="413" t="s">
        <v>395</v>
      </c>
      <c r="J11" s="413"/>
    </row>
    <row r="12" spans="9:10" ht="15">
      <c r="I12" s="413" t="s">
        <v>194</v>
      </c>
      <c r="J12" s="413"/>
    </row>
    <row r="13" spans="9:10" ht="15">
      <c r="I13" s="413" t="s">
        <v>396</v>
      </c>
      <c r="J13" s="413"/>
    </row>
    <row r="14" spans="7:62" ht="22.5" customHeight="1">
      <c r="G14" s="367" t="s">
        <v>196</v>
      </c>
      <c r="H14" s="370" t="s">
        <v>197</v>
      </c>
      <c r="I14" s="370" t="s">
        <v>9</v>
      </c>
      <c r="J14" s="222" t="s">
        <v>136</v>
      </c>
      <c r="K14" s="206"/>
      <c r="L14" s="207"/>
      <c r="M14" s="195"/>
      <c r="N14" s="195"/>
      <c r="O14" s="205" t="s">
        <v>0</v>
      </c>
      <c r="P14" s="205"/>
      <c r="Q14" s="205" t="s">
        <v>145</v>
      </c>
      <c r="R14" s="205"/>
      <c r="S14" s="205" t="s">
        <v>146</v>
      </c>
      <c r="T14" s="205"/>
      <c r="U14" s="205" t="s">
        <v>140</v>
      </c>
      <c r="V14" s="205"/>
      <c r="W14" s="196" t="s">
        <v>141</v>
      </c>
      <c r="X14" s="196" t="s">
        <v>142</v>
      </c>
      <c r="Y14" s="196" t="s">
        <v>143</v>
      </c>
      <c r="Z14" s="196" t="s">
        <v>144</v>
      </c>
      <c r="AA14" s="196" t="s">
        <v>2</v>
      </c>
      <c r="AB14" s="196" t="s">
        <v>199</v>
      </c>
      <c r="AC14" s="196" t="s">
        <v>200</v>
      </c>
      <c r="AD14" s="196"/>
      <c r="AE14" s="196" t="s">
        <v>201</v>
      </c>
      <c r="AF14" s="196"/>
      <c r="AG14" s="196" t="s">
        <v>202</v>
      </c>
      <c r="AH14" s="196"/>
      <c r="AI14" s="196" t="s">
        <v>203</v>
      </c>
      <c r="AJ14" s="196"/>
      <c r="AK14" s="196" t="s">
        <v>204</v>
      </c>
      <c r="AL14" s="196"/>
      <c r="AM14" s="196" t="s">
        <v>205</v>
      </c>
      <c r="AN14" s="196"/>
      <c r="AO14" s="196" t="s">
        <v>206</v>
      </c>
      <c r="AP14" s="196"/>
      <c r="AQ14" s="196" t="s">
        <v>207</v>
      </c>
      <c r="AR14" s="196"/>
      <c r="BE14" s="200" t="s">
        <v>145</v>
      </c>
      <c r="BF14" s="200"/>
      <c r="BG14" s="200" t="s">
        <v>146</v>
      </c>
      <c r="BH14" s="200"/>
      <c r="BI14" s="200" t="s">
        <v>140</v>
      </c>
      <c r="BJ14" s="200"/>
    </row>
    <row r="15" spans="1:62" ht="30" customHeight="1" thickBot="1">
      <c r="A15" s="1" t="s">
        <v>208</v>
      </c>
      <c r="B15" s="1" t="s">
        <v>197</v>
      </c>
      <c r="C15" s="1" t="s">
        <v>209</v>
      </c>
      <c r="D15" s="1" t="s">
        <v>210</v>
      </c>
      <c r="E15" s="1" t="s">
        <v>211</v>
      </c>
      <c r="F15" s="1" t="s">
        <v>212</v>
      </c>
      <c r="G15" s="375"/>
      <c r="H15" s="370"/>
      <c r="I15" s="370"/>
      <c r="J15" s="4" t="s">
        <v>4</v>
      </c>
      <c r="K15" s="4" t="s">
        <v>5</v>
      </c>
      <c r="L15" s="4" t="s">
        <v>6</v>
      </c>
      <c r="M15" s="4" t="s">
        <v>137</v>
      </c>
      <c r="N15" s="4" t="s">
        <v>7</v>
      </c>
      <c r="O15" s="607" t="s">
        <v>115</v>
      </c>
      <c r="P15" s="3" t="s">
        <v>213</v>
      </c>
      <c r="Q15" s="3" t="s">
        <v>149</v>
      </c>
      <c r="R15" s="3" t="s">
        <v>150</v>
      </c>
      <c r="S15" s="3" t="s">
        <v>151</v>
      </c>
      <c r="T15" s="3" t="s">
        <v>152</v>
      </c>
      <c r="U15" s="3" t="s">
        <v>147</v>
      </c>
      <c r="V15" s="3" t="s">
        <v>152</v>
      </c>
      <c r="W15" s="196"/>
      <c r="X15" s="196"/>
      <c r="Y15" s="196"/>
      <c r="Z15" s="196"/>
      <c r="AA15" s="196"/>
      <c r="AB15" s="196"/>
      <c r="AC15" s="3" t="s">
        <v>214</v>
      </c>
      <c r="AD15" s="3" t="s">
        <v>215</v>
      </c>
      <c r="AE15" s="3" t="s">
        <v>214</v>
      </c>
      <c r="AF15" s="3" t="s">
        <v>215</v>
      </c>
      <c r="AG15" s="3" t="s">
        <v>214</v>
      </c>
      <c r="AH15" s="3" t="s">
        <v>215</v>
      </c>
      <c r="AI15" s="3" t="s">
        <v>214</v>
      </c>
      <c r="AJ15" s="3" t="s">
        <v>215</v>
      </c>
      <c r="AK15" s="3" t="s">
        <v>214</v>
      </c>
      <c r="AL15" s="3" t="s">
        <v>215</v>
      </c>
      <c r="AM15" s="3" t="s">
        <v>214</v>
      </c>
      <c r="AN15" s="3" t="s">
        <v>215</v>
      </c>
      <c r="AO15" s="3" t="s">
        <v>214</v>
      </c>
      <c r="AP15" s="3" t="s">
        <v>215</v>
      </c>
      <c r="AQ15" s="3" t="s">
        <v>214</v>
      </c>
      <c r="AR15" s="3" t="s">
        <v>215</v>
      </c>
      <c r="BE15" s="117" t="s">
        <v>149</v>
      </c>
      <c r="BF15" s="117" t="s">
        <v>150</v>
      </c>
      <c r="BG15" s="117" t="s">
        <v>151</v>
      </c>
      <c r="BH15" s="117" t="s">
        <v>152</v>
      </c>
      <c r="BI15" s="117" t="s">
        <v>147</v>
      </c>
      <c r="BJ15" s="117" t="s">
        <v>152</v>
      </c>
    </row>
    <row r="16" spans="1:83" s="618" customFormat="1" ht="27.75" customHeight="1">
      <c r="A16" s="608" t="s">
        <v>216</v>
      </c>
      <c r="B16" s="608" t="s">
        <v>217</v>
      </c>
      <c r="C16" s="608" t="s">
        <v>218</v>
      </c>
      <c r="D16" s="608" t="s">
        <v>219</v>
      </c>
      <c r="E16" s="608" t="s">
        <v>220</v>
      </c>
      <c r="F16" s="608" t="s">
        <v>220</v>
      </c>
      <c r="G16" s="609">
        <v>11</v>
      </c>
      <c r="H16" s="416">
        <v>879</v>
      </c>
      <c r="I16" s="610" t="s">
        <v>109</v>
      </c>
      <c r="J16" s="417"/>
      <c r="K16" s="418" t="s">
        <v>26</v>
      </c>
      <c r="L16" s="418"/>
      <c r="M16" s="418">
        <v>0</v>
      </c>
      <c r="N16" s="610" t="s">
        <v>397</v>
      </c>
      <c r="O16" s="611">
        <v>0.45</v>
      </c>
      <c r="P16" s="612">
        <v>0.08</v>
      </c>
      <c r="Q16" s="300">
        <f>SUMIF('Actividades inversión 879'!$B$13:$B$17,'Metas inversión 879'!$B16,'Actividades inversión 879'!M$13:M$17)</f>
        <v>0</v>
      </c>
      <c r="R16" s="300">
        <f>SUMIF('Actividades inversión 879'!$B$13:$B$17,'Metas inversión 879'!$B16,'Actividades inversión 879'!N$13:N$17)</f>
        <v>0</v>
      </c>
      <c r="S16" s="300">
        <f>SUMIF('Actividades inversión 879'!$B$13:$B$17,'Metas inversión 879'!$B16,'Actividades inversión 879'!O$13:O$17)</f>
        <v>0</v>
      </c>
      <c r="T16" s="300">
        <f>SUMIF('Actividades inversión 879'!$B$13:$B$17,'Metas inversión 879'!$B16,'Actividades inversión 879'!P$13:P$17)</f>
        <v>0</v>
      </c>
      <c r="U16" s="300">
        <f>SUMIF('Actividades inversión 879'!$B$13:$B$17,'Metas inversión 879'!$B16,'Actividades inversión 879'!Q$13:Q$17)</f>
        <v>0</v>
      </c>
      <c r="V16" s="300">
        <f>SUMIF('Actividades inversión 879'!$B$13:$B$17,'Metas inversión 879'!$B16,'Actividades inversión 879'!R$13:R$17)</f>
        <v>0</v>
      </c>
      <c r="W16" s="613" t="s">
        <v>398</v>
      </c>
      <c r="X16" s="613" t="s">
        <v>399</v>
      </c>
      <c r="Y16" s="614" t="s">
        <v>400</v>
      </c>
      <c r="Z16" s="615" t="s">
        <v>401</v>
      </c>
      <c r="AA16" s="614" t="s">
        <v>402</v>
      </c>
      <c r="AB16" s="465" t="s">
        <v>228</v>
      </c>
      <c r="AC16" s="467"/>
      <c r="AD16" s="467"/>
      <c r="AE16" s="467"/>
      <c r="AF16" s="467"/>
      <c r="AG16" s="467"/>
      <c r="AH16" s="467"/>
      <c r="AI16" s="467"/>
      <c r="AJ16" s="467"/>
      <c r="AK16" s="467"/>
      <c r="AL16" s="467"/>
      <c r="AM16" s="467"/>
      <c r="AN16" s="467"/>
      <c r="AO16" s="467"/>
      <c r="AP16" s="467"/>
      <c r="AQ16" s="467">
        <f aca="true" t="shared" si="0" ref="AQ16:AR21">+AC16+AE16+AG16+AI16+AK16+AM16+AO16</f>
        <v>0</v>
      </c>
      <c r="AR16" s="468">
        <f t="shared" si="0"/>
        <v>0</v>
      </c>
      <c r="AS16" s="616">
        <f>+R16-S16</f>
        <v>0</v>
      </c>
      <c r="AT16" s="616">
        <f>+S16-T16</f>
        <v>0</v>
      </c>
      <c r="AU16" s="616">
        <f>+U16-V16</f>
        <v>0</v>
      </c>
      <c r="AV16" s="6"/>
      <c r="AW16" s="616">
        <f>+'[7]Metas'!S16:S31-S16</f>
        <v>0</v>
      </c>
      <c r="AX16" s="616">
        <f>+'[7]Metas'!T16:T31-T16</f>
        <v>0</v>
      </c>
      <c r="AY16" s="616">
        <f>+'[7]Metas'!U16:U31-U16</f>
        <v>0</v>
      </c>
      <c r="AZ16" s="616">
        <f>+'[7]Metas'!V16:V31-V16</f>
        <v>0</v>
      </c>
      <c r="BA16" s="6"/>
      <c r="BB16" s="6"/>
      <c r="BC16" s="6"/>
      <c r="BD16" s="6"/>
      <c r="BE16" s="617">
        <f>SUM('[6]99-METROPOLITANO'!N14)</f>
        <v>0</v>
      </c>
      <c r="BF16" s="617">
        <f>SUM('[6]99-METROPOLITANO'!O14)</f>
        <v>0</v>
      </c>
      <c r="BG16" s="617">
        <f>SUM('[6]99-METROPOLITANO'!P14)</f>
        <v>0</v>
      </c>
      <c r="BH16" s="617">
        <f>SUM('[6]99-METROPOLITANO'!Q14)</f>
        <v>0</v>
      </c>
      <c r="BI16" s="617">
        <f>SUM('[6]99-METROPOLITANO'!R14)</f>
        <v>0</v>
      </c>
      <c r="BJ16" s="617">
        <f>SUM('[6]99-METROPOLITANO'!S14)</f>
        <v>0</v>
      </c>
      <c r="BN16" s="6"/>
      <c r="BO16" s="6"/>
      <c r="BP16" s="6"/>
      <c r="BQ16" s="6"/>
      <c r="BR16" s="6"/>
      <c r="BS16" s="6"/>
      <c r="BT16" s="6"/>
      <c r="BU16" s="6"/>
      <c r="BV16" s="6"/>
      <c r="BW16" s="6"/>
      <c r="BX16" s="6"/>
      <c r="BY16" s="6"/>
      <c r="BZ16" s="6"/>
      <c r="CA16" s="6"/>
      <c r="CB16" s="6"/>
      <c r="CC16" s="6"/>
      <c r="CD16" s="6"/>
      <c r="CE16" s="6"/>
    </row>
    <row r="17" spans="1:83" s="618" customFormat="1" ht="15.75">
      <c r="A17" s="608"/>
      <c r="B17" s="608"/>
      <c r="C17" s="608"/>
      <c r="D17" s="608"/>
      <c r="E17" s="608"/>
      <c r="F17" s="608"/>
      <c r="G17" s="609"/>
      <c r="H17" s="431"/>
      <c r="I17" s="619"/>
      <c r="J17" s="432"/>
      <c r="K17" s="432"/>
      <c r="L17" s="432"/>
      <c r="M17" s="432"/>
      <c r="N17" s="619"/>
      <c r="O17" s="620"/>
      <c r="P17" s="621"/>
      <c r="Q17" s="315"/>
      <c r="R17" s="315"/>
      <c r="S17" s="315"/>
      <c r="T17" s="315"/>
      <c r="U17" s="315"/>
      <c r="V17" s="315"/>
      <c r="W17" s="622"/>
      <c r="X17" s="622"/>
      <c r="Y17" s="623"/>
      <c r="Z17" s="624"/>
      <c r="AA17" s="623"/>
      <c r="AB17" s="450" t="s">
        <v>229</v>
      </c>
      <c r="AC17" s="444"/>
      <c r="AD17" s="444"/>
      <c r="AE17" s="444"/>
      <c r="AF17" s="444"/>
      <c r="AG17" s="444"/>
      <c r="AH17" s="444"/>
      <c r="AI17" s="444"/>
      <c r="AJ17" s="444"/>
      <c r="AK17" s="444"/>
      <c r="AL17" s="444"/>
      <c r="AM17" s="444"/>
      <c r="AN17" s="444"/>
      <c r="AO17" s="444"/>
      <c r="AP17" s="444"/>
      <c r="AQ17" s="444">
        <f t="shared" si="0"/>
        <v>0</v>
      </c>
      <c r="AR17" s="445">
        <f t="shared" si="0"/>
        <v>0</v>
      </c>
      <c r="AS17" s="616">
        <f aca="true" t="shared" si="1" ref="AS17:AT64">+R17-S17</f>
        <v>0</v>
      </c>
      <c r="AT17" s="616">
        <f t="shared" si="1"/>
        <v>0</v>
      </c>
      <c r="AU17" s="616">
        <f aca="true" t="shared" si="2" ref="AU17:AU64">+U17-V17</f>
        <v>0</v>
      </c>
      <c r="AV17" s="6"/>
      <c r="AW17" s="616">
        <f>+'[7]Metas'!S17:S32-S17</f>
        <v>0</v>
      </c>
      <c r="AX17" s="616">
        <f>+'[7]Metas'!T17:T32-T17</f>
        <v>0</v>
      </c>
      <c r="AY17" s="616">
        <f>+'[7]Metas'!U17:U32-U17</f>
        <v>0</v>
      </c>
      <c r="AZ17" s="616">
        <f>+'[7]Metas'!V17:V32-V17</f>
        <v>0</v>
      </c>
      <c r="BA17" s="6"/>
      <c r="BB17" s="6"/>
      <c r="BC17" s="6"/>
      <c r="BD17" s="6"/>
      <c r="BE17" s="446"/>
      <c r="BF17" s="446"/>
      <c r="BG17" s="446"/>
      <c r="BH17" s="446"/>
      <c r="BI17" s="446"/>
      <c r="BJ17" s="446"/>
      <c r="BN17" s="6"/>
      <c r="BO17" s="6"/>
      <c r="BP17" s="6"/>
      <c r="BQ17" s="6"/>
      <c r="BR17" s="6"/>
      <c r="BS17" s="6"/>
      <c r="BT17" s="6"/>
      <c r="BU17" s="6"/>
      <c r="BV17" s="6"/>
      <c r="BW17" s="6"/>
      <c r="BX17" s="6"/>
      <c r="BY17" s="6"/>
      <c r="BZ17" s="6"/>
      <c r="CA17" s="6"/>
      <c r="CB17" s="6"/>
      <c r="CC17" s="6"/>
      <c r="CD17" s="6"/>
      <c r="CE17" s="6"/>
    </row>
    <row r="18" spans="1:83" s="618" customFormat="1" ht="15.75">
      <c r="A18" s="608"/>
      <c r="B18" s="608"/>
      <c r="C18" s="608"/>
      <c r="D18" s="608"/>
      <c r="E18" s="608"/>
      <c r="F18" s="608"/>
      <c r="G18" s="609"/>
      <c r="H18" s="431"/>
      <c r="I18" s="619"/>
      <c r="J18" s="432"/>
      <c r="K18" s="432"/>
      <c r="L18" s="432"/>
      <c r="M18" s="432"/>
      <c r="N18" s="619"/>
      <c r="O18" s="620"/>
      <c r="P18" s="621"/>
      <c r="Q18" s="315"/>
      <c r="R18" s="315"/>
      <c r="S18" s="315"/>
      <c r="T18" s="315"/>
      <c r="U18" s="315"/>
      <c r="V18" s="315"/>
      <c r="W18" s="622"/>
      <c r="X18" s="622"/>
      <c r="Y18" s="623"/>
      <c r="Z18" s="624"/>
      <c r="AA18" s="623"/>
      <c r="AB18" s="450" t="s">
        <v>230</v>
      </c>
      <c r="AC18" s="444"/>
      <c r="AD18" s="444"/>
      <c r="AE18" s="444"/>
      <c r="AF18" s="444"/>
      <c r="AG18" s="444"/>
      <c r="AH18" s="444"/>
      <c r="AI18" s="444"/>
      <c r="AJ18" s="444"/>
      <c r="AK18" s="444"/>
      <c r="AL18" s="444"/>
      <c r="AM18" s="444"/>
      <c r="AN18" s="444"/>
      <c r="AO18" s="444"/>
      <c r="AP18" s="444"/>
      <c r="AQ18" s="444">
        <f t="shared" si="0"/>
        <v>0</v>
      </c>
      <c r="AR18" s="445">
        <f t="shared" si="0"/>
        <v>0</v>
      </c>
      <c r="AS18" s="616">
        <f t="shared" si="1"/>
        <v>0</v>
      </c>
      <c r="AT18" s="616">
        <f t="shared" si="1"/>
        <v>0</v>
      </c>
      <c r="AU18" s="616">
        <f t="shared" si="2"/>
        <v>0</v>
      </c>
      <c r="AV18" s="6"/>
      <c r="AW18" s="616">
        <f>+'[7]Metas'!S18:S33-S18</f>
        <v>0</v>
      </c>
      <c r="AX18" s="616">
        <f>+'[7]Metas'!T18:T33-T18</f>
        <v>0</v>
      </c>
      <c r="AY18" s="616">
        <f>+'[7]Metas'!U18:U33-U18</f>
        <v>0</v>
      </c>
      <c r="AZ18" s="616">
        <f>+'[7]Metas'!V18:V33-V18</f>
        <v>0</v>
      </c>
      <c r="BA18" s="6"/>
      <c r="BB18" s="6"/>
      <c r="BC18" s="6"/>
      <c r="BD18" s="6"/>
      <c r="BE18" s="446"/>
      <c r="BF18" s="446"/>
      <c r="BG18" s="446"/>
      <c r="BH18" s="446"/>
      <c r="BI18" s="446"/>
      <c r="BJ18" s="446"/>
      <c r="BN18" s="6"/>
      <c r="BO18" s="6"/>
      <c r="BP18" s="6"/>
      <c r="BQ18" s="6"/>
      <c r="BR18" s="6"/>
      <c r="BS18" s="6"/>
      <c r="BT18" s="6"/>
      <c r="BU18" s="6"/>
      <c r="BV18" s="6"/>
      <c r="BW18" s="6"/>
      <c r="BX18" s="6"/>
      <c r="BY18" s="6"/>
      <c r="BZ18" s="6"/>
      <c r="CA18" s="6"/>
      <c r="CB18" s="6"/>
      <c r="CC18" s="6"/>
      <c r="CD18" s="6"/>
      <c r="CE18" s="6"/>
    </row>
    <row r="19" spans="1:83" s="618" customFormat="1" ht="15.75">
      <c r="A19" s="608"/>
      <c r="B19" s="608"/>
      <c r="C19" s="608"/>
      <c r="D19" s="608"/>
      <c r="E19" s="608"/>
      <c r="F19" s="608"/>
      <c r="G19" s="609"/>
      <c r="H19" s="431"/>
      <c r="I19" s="619"/>
      <c r="J19" s="432"/>
      <c r="K19" s="432"/>
      <c r="L19" s="432"/>
      <c r="M19" s="432"/>
      <c r="N19" s="619"/>
      <c r="O19" s="620"/>
      <c r="P19" s="621"/>
      <c r="Q19" s="315"/>
      <c r="R19" s="315"/>
      <c r="S19" s="315"/>
      <c r="T19" s="315"/>
      <c r="U19" s="315"/>
      <c r="V19" s="315"/>
      <c r="W19" s="622"/>
      <c r="X19" s="622"/>
      <c r="Y19" s="623"/>
      <c r="Z19" s="624"/>
      <c r="AA19" s="623"/>
      <c r="AB19" s="450" t="s">
        <v>231</v>
      </c>
      <c r="AC19" s="444"/>
      <c r="AD19" s="444"/>
      <c r="AE19" s="444"/>
      <c r="AF19" s="444"/>
      <c r="AG19" s="444"/>
      <c r="AH19" s="444"/>
      <c r="AI19" s="444"/>
      <c r="AJ19" s="444"/>
      <c r="AK19" s="444"/>
      <c r="AL19" s="444"/>
      <c r="AM19" s="444"/>
      <c r="AN19" s="444"/>
      <c r="AO19" s="444"/>
      <c r="AP19" s="444"/>
      <c r="AQ19" s="444">
        <f t="shared" si="0"/>
        <v>0</v>
      </c>
      <c r="AR19" s="445">
        <f t="shared" si="0"/>
        <v>0</v>
      </c>
      <c r="AS19" s="616">
        <f t="shared" si="1"/>
        <v>0</v>
      </c>
      <c r="AT19" s="616">
        <f t="shared" si="1"/>
        <v>0</v>
      </c>
      <c r="AU19" s="616">
        <f t="shared" si="2"/>
        <v>0</v>
      </c>
      <c r="AV19" s="6"/>
      <c r="AW19" s="616">
        <f>+'[7]Metas'!S19:S34-S19</f>
        <v>0</v>
      </c>
      <c r="AX19" s="616">
        <f>+'[7]Metas'!T19:T34-T19</f>
        <v>0</v>
      </c>
      <c r="AY19" s="616">
        <f>+'[7]Metas'!U19:U34-U19</f>
        <v>0</v>
      </c>
      <c r="AZ19" s="616">
        <f>+'[7]Metas'!V19:V34-V19</f>
        <v>0</v>
      </c>
      <c r="BA19" s="6"/>
      <c r="BB19" s="6"/>
      <c r="BC19" s="6"/>
      <c r="BD19" s="6"/>
      <c r="BE19" s="446"/>
      <c r="BF19" s="446"/>
      <c r="BG19" s="446"/>
      <c r="BH19" s="446"/>
      <c r="BI19" s="446"/>
      <c r="BJ19" s="446"/>
      <c r="BN19" s="6"/>
      <c r="BO19" s="6"/>
      <c r="BP19" s="6"/>
      <c r="BQ19" s="6"/>
      <c r="BR19" s="6"/>
      <c r="BS19" s="6"/>
      <c r="BT19" s="6"/>
      <c r="BU19" s="6"/>
      <c r="BV19" s="6"/>
      <c r="BW19" s="6"/>
      <c r="BX19" s="6"/>
      <c r="BY19" s="6"/>
      <c r="BZ19" s="6"/>
      <c r="CA19" s="6"/>
      <c r="CB19" s="6"/>
      <c r="CC19" s="6"/>
      <c r="CD19" s="6"/>
      <c r="CE19" s="6"/>
    </row>
    <row r="20" spans="1:83" s="618" customFormat="1" ht="15.75">
      <c r="A20" s="608"/>
      <c r="B20" s="608"/>
      <c r="C20" s="608"/>
      <c r="D20" s="608"/>
      <c r="E20" s="608"/>
      <c r="F20" s="608"/>
      <c r="G20" s="609"/>
      <c r="H20" s="431"/>
      <c r="I20" s="619"/>
      <c r="J20" s="432"/>
      <c r="K20" s="432"/>
      <c r="L20" s="432"/>
      <c r="M20" s="432"/>
      <c r="N20" s="619"/>
      <c r="O20" s="620"/>
      <c r="P20" s="621"/>
      <c r="Q20" s="315"/>
      <c r="R20" s="315"/>
      <c r="S20" s="315"/>
      <c r="T20" s="315"/>
      <c r="U20" s="315"/>
      <c r="V20" s="315"/>
      <c r="W20" s="622"/>
      <c r="X20" s="622"/>
      <c r="Y20" s="623"/>
      <c r="Z20" s="624"/>
      <c r="AA20" s="623"/>
      <c r="AB20" s="450" t="s">
        <v>232</v>
      </c>
      <c r="AC20" s="444"/>
      <c r="AD20" s="444"/>
      <c r="AE20" s="444"/>
      <c r="AF20" s="444"/>
      <c r="AG20" s="444"/>
      <c r="AH20" s="444"/>
      <c r="AI20" s="444"/>
      <c r="AJ20" s="444"/>
      <c r="AK20" s="444"/>
      <c r="AL20" s="444"/>
      <c r="AM20" s="444"/>
      <c r="AN20" s="444"/>
      <c r="AO20" s="444"/>
      <c r="AP20" s="444"/>
      <c r="AQ20" s="444">
        <f t="shared" si="0"/>
        <v>0</v>
      </c>
      <c r="AR20" s="445">
        <f t="shared" si="0"/>
        <v>0</v>
      </c>
      <c r="AS20" s="616">
        <f t="shared" si="1"/>
        <v>0</v>
      </c>
      <c r="AT20" s="616">
        <f t="shared" si="1"/>
        <v>0</v>
      </c>
      <c r="AU20" s="616">
        <f t="shared" si="2"/>
        <v>0</v>
      </c>
      <c r="AV20" s="6"/>
      <c r="AW20" s="616">
        <f>+'[7]Metas'!S20:S35-S20</f>
        <v>0</v>
      </c>
      <c r="AX20" s="616">
        <f>+'[7]Metas'!T20:T35-T20</f>
        <v>0</v>
      </c>
      <c r="AY20" s="616">
        <f>+'[7]Metas'!U20:U35-U20</f>
        <v>0</v>
      </c>
      <c r="AZ20" s="616">
        <f>+'[7]Metas'!V20:V35-V20</f>
        <v>0</v>
      </c>
      <c r="BA20" s="6"/>
      <c r="BB20" s="6"/>
      <c r="BC20" s="6"/>
      <c r="BD20" s="6"/>
      <c r="BE20" s="446"/>
      <c r="BF20" s="446"/>
      <c r="BG20" s="446"/>
      <c r="BH20" s="446"/>
      <c r="BI20" s="446"/>
      <c r="BJ20" s="446"/>
      <c r="BN20" s="6"/>
      <c r="BO20" s="6"/>
      <c r="BP20" s="6"/>
      <c r="BQ20" s="6"/>
      <c r="BR20" s="6"/>
      <c r="BS20" s="6"/>
      <c r="BT20" s="6"/>
      <c r="BU20" s="6"/>
      <c r="BV20" s="6"/>
      <c r="BW20" s="6"/>
      <c r="BX20" s="6"/>
      <c r="BY20" s="6"/>
      <c r="BZ20" s="6"/>
      <c r="CA20" s="6"/>
      <c r="CB20" s="6"/>
      <c r="CC20" s="6"/>
      <c r="CD20" s="6"/>
      <c r="CE20" s="6"/>
    </row>
    <row r="21" spans="1:83" s="618" customFormat="1" ht="15.75">
      <c r="A21" s="608"/>
      <c r="B21" s="608"/>
      <c r="C21" s="608"/>
      <c r="D21" s="608"/>
      <c r="E21" s="608"/>
      <c r="F21" s="608"/>
      <c r="G21" s="609"/>
      <c r="H21" s="431"/>
      <c r="I21" s="619"/>
      <c r="J21" s="432"/>
      <c r="K21" s="432"/>
      <c r="L21" s="432"/>
      <c r="M21" s="432"/>
      <c r="N21" s="619"/>
      <c r="O21" s="620"/>
      <c r="P21" s="621"/>
      <c r="Q21" s="315"/>
      <c r="R21" s="315"/>
      <c r="S21" s="315"/>
      <c r="T21" s="315"/>
      <c r="U21" s="315"/>
      <c r="V21" s="315"/>
      <c r="W21" s="622"/>
      <c r="X21" s="622"/>
      <c r="Y21" s="623"/>
      <c r="Z21" s="624"/>
      <c r="AA21" s="623"/>
      <c r="AB21" s="442" t="s">
        <v>233</v>
      </c>
      <c r="AC21" s="444"/>
      <c r="AD21" s="444"/>
      <c r="AE21" s="444"/>
      <c r="AF21" s="444"/>
      <c r="AG21" s="444"/>
      <c r="AH21" s="444"/>
      <c r="AI21" s="444"/>
      <c r="AJ21" s="444"/>
      <c r="AK21" s="444"/>
      <c r="AL21" s="444"/>
      <c r="AM21" s="444"/>
      <c r="AN21" s="444"/>
      <c r="AO21" s="444"/>
      <c r="AP21" s="444"/>
      <c r="AQ21" s="444">
        <f t="shared" si="0"/>
        <v>0</v>
      </c>
      <c r="AR21" s="445">
        <f t="shared" si="0"/>
        <v>0</v>
      </c>
      <c r="AS21" s="616">
        <f t="shared" si="1"/>
        <v>0</v>
      </c>
      <c r="AT21" s="616">
        <f t="shared" si="1"/>
        <v>0</v>
      </c>
      <c r="AU21" s="616">
        <f t="shared" si="2"/>
        <v>0</v>
      </c>
      <c r="AV21" s="6"/>
      <c r="AW21" s="616">
        <f>+'[7]Metas'!S21:S36-S21</f>
        <v>0</v>
      </c>
      <c r="AX21" s="616">
        <f>+'[7]Metas'!T21:T36-T21</f>
        <v>0</v>
      </c>
      <c r="AY21" s="616">
        <f>+'[7]Metas'!U21:U36-U21</f>
        <v>0</v>
      </c>
      <c r="AZ21" s="616">
        <f>+'[7]Metas'!V21:V36-V21</f>
        <v>0</v>
      </c>
      <c r="BA21" s="6"/>
      <c r="BB21" s="6"/>
      <c r="BC21" s="6"/>
      <c r="BD21" s="6"/>
      <c r="BE21" s="446"/>
      <c r="BF21" s="446"/>
      <c r="BG21" s="446"/>
      <c r="BH21" s="446"/>
      <c r="BI21" s="446"/>
      <c r="BJ21" s="446"/>
      <c r="BN21" s="6"/>
      <c r="BO21" s="6"/>
      <c r="BP21" s="6"/>
      <c r="BQ21" s="6"/>
      <c r="BR21" s="6"/>
      <c r="BS21" s="6"/>
      <c r="BT21" s="6"/>
      <c r="BU21" s="6"/>
      <c r="BV21" s="6"/>
      <c r="BW21" s="6"/>
      <c r="BX21" s="6"/>
      <c r="BY21" s="6"/>
      <c r="BZ21" s="6"/>
      <c r="CA21" s="6"/>
      <c r="CB21" s="6"/>
      <c r="CC21" s="6"/>
      <c r="CD21" s="6"/>
      <c r="CE21" s="6"/>
    </row>
    <row r="22" spans="1:83" s="618" customFormat="1" ht="15.75">
      <c r="A22" s="608"/>
      <c r="B22" s="608"/>
      <c r="C22" s="608"/>
      <c r="D22" s="608"/>
      <c r="E22" s="608"/>
      <c r="F22" s="608"/>
      <c r="G22" s="609"/>
      <c r="H22" s="431"/>
      <c r="I22" s="619"/>
      <c r="J22" s="432"/>
      <c r="K22" s="432"/>
      <c r="L22" s="432"/>
      <c r="M22" s="432"/>
      <c r="N22" s="619"/>
      <c r="O22" s="620"/>
      <c r="P22" s="621"/>
      <c r="Q22" s="315"/>
      <c r="R22" s="315"/>
      <c r="S22" s="315"/>
      <c r="T22" s="315"/>
      <c r="U22" s="315"/>
      <c r="V22" s="315"/>
      <c r="W22" s="622"/>
      <c r="X22" s="622"/>
      <c r="Y22" s="623"/>
      <c r="Z22" s="624"/>
      <c r="AA22" s="623"/>
      <c r="AB22" s="447" t="s">
        <v>234</v>
      </c>
      <c r="AC22" s="448">
        <f aca="true" t="shared" si="3" ref="AC22:AR22">SUM(AC16:AC21)</f>
        <v>0</v>
      </c>
      <c r="AD22" s="448">
        <f t="shared" si="3"/>
        <v>0</v>
      </c>
      <c r="AE22" s="448">
        <f t="shared" si="3"/>
        <v>0</v>
      </c>
      <c r="AF22" s="448">
        <f t="shared" si="3"/>
        <v>0</v>
      </c>
      <c r="AG22" s="448">
        <f t="shared" si="3"/>
        <v>0</v>
      </c>
      <c r="AH22" s="448">
        <f t="shared" si="3"/>
        <v>0</v>
      </c>
      <c r="AI22" s="448">
        <f t="shared" si="3"/>
        <v>0</v>
      </c>
      <c r="AJ22" s="448">
        <f t="shared" si="3"/>
        <v>0</v>
      </c>
      <c r="AK22" s="448">
        <f t="shared" si="3"/>
        <v>0</v>
      </c>
      <c r="AL22" s="448">
        <f t="shared" si="3"/>
        <v>0</v>
      </c>
      <c r="AM22" s="448">
        <f t="shared" si="3"/>
        <v>0</v>
      </c>
      <c r="AN22" s="448">
        <f t="shared" si="3"/>
        <v>0</v>
      </c>
      <c r="AO22" s="448">
        <f t="shared" si="3"/>
        <v>0</v>
      </c>
      <c r="AP22" s="448">
        <f t="shared" si="3"/>
        <v>0</v>
      </c>
      <c r="AQ22" s="448">
        <f t="shared" si="3"/>
        <v>0</v>
      </c>
      <c r="AR22" s="449">
        <f t="shared" si="3"/>
        <v>0</v>
      </c>
      <c r="AS22" s="616">
        <f t="shared" si="1"/>
        <v>0</v>
      </c>
      <c r="AT22" s="616">
        <f t="shared" si="1"/>
        <v>0</v>
      </c>
      <c r="AU22" s="616">
        <f t="shared" si="2"/>
        <v>0</v>
      </c>
      <c r="AV22" s="6"/>
      <c r="AW22" s="616">
        <f>+'[7]Metas'!S22:S37-S22</f>
        <v>0</v>
      </c>
      <c r="AX22" s="616">
        <f>+'[7]Metas'!T22:T37-T22</f>
        <v>0</v>
      </c>
      <c r="AY22" s="616">
        <f>+'[7]Metas'!U22:U37-U22</f>
        <v>0</v>
      </c>
      <c r="AZ22" s="616">
        <f>+'[7]Metas'!V22:V37-V22</f>
        <v>0</v>
      </c>
      <c r="BA22" s="6"/>
      <c r="BB22" s="6"/>
      <c r="BC22" s="6"/>
      <c r="BD22" s="6"/>
      <c r="BE22" s="446"/>
      <c r="BF22" s="446"/>
      <c r="BG22" s="446"/>
      <c r="BH22" s="446"/>
      <c r="BI22" s="446"/>
      <c r="BJ22" s="446"/>
      <c r="BN22" s="6"/>
      <c r="BO22" s="6"/>
      <c r="BP22" s="6"/>
      <c r="BQ22" s="6"/>
      <c r="BR22" s="6"/>
      <c r="BS22" s="6"/>
      <c r="BT22" s="6"/>
      <c r="BU22" s="6"/>
      <c r="BV22" s="6"/>
      <c r="BW22" s="6"/>
      <c r="BX22" s="6"/>
      <c r="BY22" s="6"/>
      <c r="BZ22" s="6"/>
      <c r="CA22" s="6"/>
      <c r="CB22" s="6"/>
      <c r="CC22" s="6"/>
      <c r="CD22" s="6"/>
      <c r="CE22" s="6"/>
    </row>
    <row r="23" spans="1:83" s="618" customFormat="1" ht="15.75">
      <c r="A23" s="608"/>
      <c r="B23" s="608"/>
      <c r="C23" s="608"/>
      <c r="D23" s="608"/>
      <c r="E23" s="608"/>
      <c r="F23" s="608"/>
      <c r="G23" s="609"/>
      <c r="H23" s="431"/>
      <c r="I23" s="619"/>
      <c r="J23" s="432"/>
      <c r="K23" s="432"/>
      <c r="L23" s="432"/>
      <c r="M23" s="432"/>
      <c r="N23" s="619"/>
      <c r="O23" s="620"/>
      <c r="P23" s="621"/>
      <c r="Q23" s="315"/>
      <c r="R23" s="315"/>
      <c r="S23" s="315"/>
      <c r="T23" s="315"/>
      <c r="U23" s="315"/>
      <c r="V23" s="315"/>
      <c r="W23" s="622"/>
      <c r="X23" s="622"/>
      <c r="Y23" s="623"/>
      <c r="Z23" s="624"/>
      <c r="AA23" s="623"/>
      <c r="AB23" s="450" t="s">
        <v>235</v>
      </c>
      <c r="AC23" s="444"/>
      <c r="AD23" s="444"/>
      <c r="AE23" s="444"/>
      <c r="AF23" s="444"/>
      <c r="AG23" s="444"/>
      <c r="AH23" s="444"/>
      <c r="AI23" s="444"/>
      <c r="AJ23" s="444"/>
      <c r="AK23" s="444"/>
      <c r="AL23" s="444"/>
      <c r="AM23" s="444"/>
      <c r="AN23" s="444"/>
      <c r="AO23" s="444"/>
      <c r="AP23" s="444"/>
      <c r="AQ23" s="444">
        <f>+AC23+AE23+AG23+AI23+AK23+AM23+AO23</f>
        <v>0</v>
      </c>
      <c r="AR23" s="445">
        <f aca="true" t="shared" si="4" ref="AR23:AR29">+AD23+AF23+AH23+AJ23+AL23+AN23+AP23</f>
        <v>0</v>
      </c>
      <c r="AS23" s="616">
        <f t="shared" si="1"/>
        <v>0</v>
      </c>
      <c r="AT23" s="616">
        <f t="shared" si="1"/>
        <v>0</v>
      </c>
      <c r="AU23" s="616">
        <f t="shared" si="2"/>
        <v>0</v>
      </c>
      <c r="AV23" s="6"/>
      <c r="AW23" s="616">
        <f>+'[7]Metas'!S23:S38-S23</f>
        <v>0</v>
      </c>
      <c r="AX23" s="616">
        <f>+'[7]Metas'!T23:T38-T23</f>
        <v>0</v>
      </c>
      <c r="AY23" s="616">
        <f>+'[7]Metas'!U23:U38-U23</f>
        <v>0</v>
      </c>
      <c r="AZ23" s="616">
        <f>+'[7]Metas'!V23:V38-V23</f>
        <v>0</v>
      </c>
      <c r="BA23" s="6"/>
      <c r="BB23" s="6"/>
      <c r="BC23" s="6"/>
      <c r="BD23" s="6"/>
      <c r="BE23" s="446"/>
      <c r="BF23" s="446"/>
      <c r="BG23" s="446"/>
      <c r="BH23" s="446"/>
      <c r="BI23" s="446"/>
      <c r="BJ23" s="446"/>
      <c r="BN23" s="6"/>
      <c r="BO23" s="6"/>
      <c r="BP23" s="6"/>
      <c r="BQ23" s="6"/>
      <c r="BR23" s="6"/>
      <c r="BS23" s="6"/>
      <c r="BT23" s="6"/>
      <c r="BU23" s="6"/>
      <c r="BV23" s="6"/>
      <c r="BW23" s="6"/>
      <c r="BX23" s="6"/>
      <c r="BY23" s="6"/>
      <c r="BZ23" s="6"/>
      <c r="CA23" s="6"/>
      <c r="CB23" s="6"/>
      <c r="CC23" s="6"/>
      <c r="CD23" s="6"/>
      <c r="CE23" s="6"/>
    </row>
    <row r="24" spans="1:83" s="618" customFormat="1" ht="15.75">
      <c r="A24" s="608"/>
      <c r="B24" s="608"/>
      <c r="C24" s="608"/>
      <c r="D24" s="608"/>
      <c r="E24" s="608"/>
      <c r="F24" s="608"/>
      <c r="G24" s="609"/>
      <c r="H24" s="431"/>
      <c r="I24" s="619"/>
      <c r="J24" s="432"/>
      <c r="K24" s="432"/>
      <c r="L24" s="432"/>
      <c r="M24" s="432"/>
      <c r="N24" s="619"/>
      <c r="O24" s="620"/>
      <c r="P24" s="621"/>
      <c r="Q24" s="315"/>
      <c r="R24" s="315"/>
      <c r="S24" s="315"/>
      <c r="T24" s="315"/>
      <c r="U24" s="315"/>
      <c r="V24" s="315"/>
      <c r="W24" s="622"/>
      <c r="X24" s="622"/>
      <c r="Y24" s="623"/>
      <c r="Z24" s="624"/>
      <c r="AA24" s="623"/>
      <c r="AB24" s="450" t="s">
        <v>236</v>
      </c>
      <c r="AC24" s="444"/>
      <c r="AD24" s="444"/>
      <c r="AE24" s="444"/>
      <c r="AF24" s="444"/>
      <c r="AG24" s="444"/>
      <c r="AH24" s="444"/>
      <c r="AI24" s="444"/>
      <c r="AJ24" s="444"/>
      <c r="AK24" s="444"/>
      <c r="AL24" s="444"/>
      <c r="AM24" s="444"/>
      <c r="AN24" s="444"/>
      <c r="AO24" s="444"/>
      <c r="AP24" s="444"/>
      <c r="AQ24" s="444">
        <f aca="true" t="shared" si="5" ref="AQ24:AQ29">+AC24+AE24+AG24+AI24+AK24+AM24+AO24</f>
        <v>0</v>
      </c>
      <c r="AR24" s="445">
        <f t="shared" si="4"/>
        <v>0</v>
      </c>
      <c r="AS24" s="616">
        <f t="shared" si="1"/>
        <v>0</v>
      </c>
      <c r="AT24" s="616">
        <f t="shared" si="1"/>
        <v>0</v>
      </c>
      <c r="AU24" s="616">
        <f t="shared" si="2"/>
        <v>0</v>
      </c>
      <c r="AV24" s="6"/>
      <c r="AW24" s="616">
        <f>+'[7]Metas'!S24:S39-S24</f>
        <v>0</v>
      </c>
      <c r="AX24" s="616">
        <f>+'[7]Metas'!T24:T39-T24</f>
        <v>0</v>
      </c>
      <c r="AY24" s="616">
        <f>+'[7]Metas'!U24:U39-U24</f>
        <v>0</v>
      </c>
      <c r="AZ24" s="616">
        <f>+'[7]Metas'!V24:V39-V24</f>
        <v>0</v>
      </c>
      <c r="BA24" s="6"/>
      <c r="BB24" s="6"/>
      <c r="BC24" s="6"/>
      <c r="BD24" s="6"/>
      <c r="BE24" s="446"/>
      <c r="BF24" s="446"/>
      <c r="BG24" s="446"/>
      <c r="BH24" s="446"/>
      <c r="BI24" s="446"/>
      <c r="BJ24" s="446"/>
      <c r="BN24" s="6"/>
      <c r="BO24" s="6"/>
      <c r="BP24" s="6"/>
      <c r="BQ24" s="6"/>
      <c r="BR24" s="6"/>
      <c r="BS24" s="6"/>
      <c r="BT24" s="6"/>
      <c r="BU24" s="6"/>
      <c r="BV24" s="6"/>
      <c r="BW24" s="6"/>
      <c r="BX24" s="6"/>
      <c r="BY24" s="6"/>
      <c r="BZ24" s="6"/>
      <c r="CA24" s="6"/>
      <c r="CB24" s="6"/>
      <c r="CC24" s="6"/>
      <c r="CD24" s="6"/>
      <c r="CE24" s="6"/>
    </row>
    <row r="25" spans="1:83" s="618" customFormat="1" ht="15.75">
      <c r="A25" s="608"/>
      <c r="B25" s="608"/>
      <c r="C25" s="608"/>
      <c r="D25" s="608"/>
      <c r="E25" s="608"/>
      <c r="F25" s="608"/>
      <c r="G25" s="609"/>
      <c r="H25" s="431"/>
      <c r="I25" s="619"/>
      <c r="J25" s="432"/>
      <c r="K25" s="432"/>
      <c r="L25" s="432"/>
      <c r="M25" s="432"/>
      <c r="N25" s="619"/>
      <c r="O25" s="620"/>
      <c r="P25" s="621"/>
      <c r="Q25" s="315"/>
      <c r="R25" s="315"/>
      <c r="S25" s="315"/>
      <c r="T25" s="315"/>
      <c r="U25" s="315"/>
      <c r="V25" s="315"/>
      <c r="W25" s="622"/>
      <c r="X25" s="622"/>
      <c r="Y25" s="623"/>
      <c r="Z25" s="624"/>
      <c r="AA25" s="623"/>
      <c r="AB25" s="442" t="s">
        <v>237</v>
      </c>
      <c r="AC25" s="444"/>
      <c r="AD25" s="444"/>
      <c r="AE25" s="444"/>
      <c r="AF25" s="444"/>
      <c r="AG25" s="444"/>
      <c r="AH25" s="444"/>
      <c r="AI25" s="444"/>
      <c r="AJ25" s="444"/>
      <c r="AK25" s="444"/>
      <c r="AL25" s="444"/>
      <c r="AM25" s="444"/>
      <c r="AN25" s="444"/>
      <c r="AO25" s="444"/>
      <c r="AP25" s="444"/>
      <c r="AQ25" s="444">
        <f t="shared" si="5"/>
        <v>0</v>
      </c>
      <c r="AR25" s="445">
        <f t="shared" si="4"/>
        <v>0</v>
      </c>
      <c r="AS25" s="616">
        <f t="shared" si="1"/>
        <v>0</v>
      </c>
      <c r="AT25" s="616">
        <f t="shared" si="1"/>
        <v>0</v>
      </c>
      <c r="AU25" s="616">
        <f t="shared" si="2"/>
        <v>0</v>
      </c>
      <c r="AV25" s="6"/>
      <c r="AW25" s="616">
        <f>+'[7]Metas'!S25:S40-S25</f>
        <v>0</v>
      </c>
      <c r="AX25" s="616">
        <f>+'[7]Metas'!T25:T40-T25</f>
        <v>0</v>
      </c>
      <c r="AY25" s="616">
        <f>+'[7]Metas'!U25:U40-U25</f>
        <v>0</v>
      </c>
      <c r="AZ25" s="616">
        <f>+'[7]Metas'!V25:V40-V25</f>
        <v>0</v>
      </c>
      <c r="BA25" s="6"/>
      <c r="BB25" s="6"/>
      <c r="BC25" s="6"/>
      <c r="BD25" s="6"/>
      <c r="BE25" s="446"/>
      <c r="BF25" s="446"/>
      <c r="BG25" s="446"/>
      <c r="BH25" s="446"/>
      <c r="BI25" s="446"/>
      <c r="BJ25" s="446"/>
      <c r="BN25" s="6"/>
      <c r="BO25" s="6"/>
      <c r="BP25" s="6"/>
      <c r="BQ25" s="6"/>
      <c r="BR25" s="6"/>
      <c r="BS25" s="6"/>
      <c r="BT25" s="6"/>
      <c r="BU25" s="6"/>
      <c r="BV25" s="6"/>
      <c r="BW25" s="6"/>
      <c r="BX25" s="6"/>
      <c r="BY25" s="6"/>
      <c r="BZ25" s="6"/>
      <c r="CA25" s="6"/>
      <c r="CB25" s="6"/>
      <c r="CC25" s="6"/>
      <c r="CD25" s="6"/>
      <c r="CE25" s="6"/>
    </row>
    <row r="26" spans="1:83" s="618" customFormat="1" ht="15.75">
      <c r="A26" s="608"/>
      <c r="B26" s="608"/>
      <c r="C26" s="608"/>
      <c r="D26" s="608"/>
      <c r="E26" s="608"/>
      <c r="F26" s="608"/>
      <c r="G26" s="609"/>
      <c r="H26" s="431"/>
      <c r="I26" s="619"/>
      <c r="J26" s="432"/>
      <c r="K26" s="432"/>
      <c r="L26" s="432"/>
      <c r="M26" s="432"/>
      <c r="N26" s="619"/>
      <c r="O26" s="620"/>
      <c r="P26" s="621"/>
      <c r="Q26" s="315"/>
      <c r="R26" s="315"/>
      <c r="S26" s="315"/>
      <c r="T26" s="315"/>
      <c r="U26" s="315"/>
      <c r="V26" s="315"/>
      <c r="W26" s="622"/>
      <c r="X26" s="622"/>
      <c r="Y26" s="623"/>
      <c r="Z26" s="624"/>
      <c r="AA26" s="623"/>
      <c r="AB26" s="442" t="s">
        <v>238</v>
      </c>
      <c r="AC26" s="444"/>
      <c r="AD26" s="444"/>
      <c r="AE26" s="444"/>
      <c r="AF26" s="444"/>
      <c r="AG26" s="444"/>
      <c r="AH26" s="444"/>
      <c r="AI26" s="444"/>
      <c r="AJ26" s="444"/>
      <c r="AK26" s="444"/>
      <c r="AL26" s="444"/>
      <c r="AM26" s="444"/>
      <c r="AN26" s="444"/>
      <c r="AO26" s="444"/>
      <c r="AP26" s="444"/>
      <c r="AQ26" s="444">
        <f t="shared" si="5"/>
        <v>0</v>
      </c>
      <c r="AR26" s="445">
        <f t="shared" si="4"/>
        <v>0</v>
      </c>
      <c r="AS26" s="616">
        <f t="shared" si="1"/>
        <v>0</v>
      </c>
      <c r="AT26" s="616">
        <f t="shared" si="1"/>
        <v>0</v>
      </c>
      <c r="AU26" s="616">
        <f t="shared" si="2"/>
        <v>0</v>
      </c>
      <c r="AV26" s="6"/>
      <c r="AW26" s="616">
        <f>+'[7]Metas'!S26:S41-S26</f>
        <v>0</v>
      </c>
      <c r="AX26" s="616">
        <f>+'[7]Metas'!T26:T41-T26</f>
        <v>0</v>
      </c>
      <c r="AY26" s="616">
        <f>+'[7]Metas'!U26:U41-U26</f>
        <v>0</v>
      </c>
      <c r="AZ26" s="616">
        <f>+'[7]Metas'!V26:V41-V26</f>
        <v>0</v>
      </c>
      <c r="BA26" s="6"/>
      <c r="BB26" s="6"/>
      <c r="BC26" s="6"/>
      <c r="BD26" s="6"/>
      <c r="BE26" s="446"/>
      <c r="BF26" s="446"/>
      <c r="BG26" s="446"/>
      <c r="BH26" s="446"/>
      <c r="BI26" s="446"/>
      <c r="BJ26" s="446"/>
      <c r="BN26" s="6"/>
      <c r="BO26" s="6"/>
      <c r="BP26" s="6"/>
      <c r="BQ26" s="6"/>
      <c r="BR26" s="6"/>
      <c r="BS26" s="6"/>
      <c r="BT26" s="6"/>
      <c r="BU26" s="6"/>
      <c r="BV26" s="6"/>
      <c r="BW26" s="6"/>
      <c r="BX26" s="6"/>
      <c r="BY26" s="6"/>
      <c r="BZ26" s="6"/>
      <c r="CA26" s="6"/>
      <c r="CB26" s="6"/>
      <c r="CC26" s="6"/>
      <c r="CD26" s="6"/>
      <c r="CE26" s="6"/>
    </row>
    <row r="27" spans="1:83" s="618" customFormat="1" ht="15.75">
      <c r="A27" s="608"/>
      <c r="B27" s="608"/>
      <c r="C27" s="608"/>
      <c r="D27" s="608"/>
      <c r="E27" s="608"/>
      <c r="F27" s="608"/>
      <c r="G27" s="609"/>
      <c r="H27" s="431"/>
      <c r="I27" s="619"/>
      <c r="J27" s="432"/>
      <c r="K27" s="432"/>
      <c r="L27" s="432"/>
      <c r="M27" s="432"/>
      <c r="N27" s="619"/>
      <c r="O27" s="620"/>
      <c r="P27" s="621"/>
      <c r="Q27" s="315"/>
      <c r="R27" s="315"/>
      <c r="S27" s="315"/>
      <c r="T27" s="315"/>
      <c r="U27" s="315"/>
      <c r="V27" s="315"/>
      <c r="W27" s="622"/>
      <c r="X27" s="622"/>
      <c r="Y27" s="623"/>
      <c r="Z27" s="624"/>
      <c r="AA27" s="623"/>
      <c r="AB27" s="442" t="s">
        <v>239</v>
      </c>
      <c r="AC27" s="444"/>
      <c r="AD27" s="444"/>
      <c r="AE27" s="444"/>
      <c r="AF27" s="444"/>
      <c r="AG27" s="444"/>
      <c r="AH27" s="444"/>
      <c r="AI27" s="444"/>
      <c r="AJ27" s="444"/>
      <c r="AK27" s="444"/>
      <c r="AL27" s="444"/>
      <c r="AM27" s="444"/>
      <c r="AN27" s="444"/>
      <c r="AO27" s="444"/>
      <c r="AP27" s="444"/>
      <c r="AQ27" s="444">
        <f t="shared" si="5"/>
        <v>0</v>
      </c>
      <c r="AR27" s="445">
        <f t="shared" si="4"/>
        <v>0</v>
      </c>
      <c r="AS27" s="616">
        <f t="shared" si="1"/>
        <v>0</v>
      </c>
      <c r="AT27" s="616">
        <f t="shared" si="1"/>
        <v>0</v>
      </c>
      <c r="AU27" s="616">
        <f t="shared" si="2"/>
        <v>0</v>
      </c>
      <c r="AV27" s="6"/>
      <c r="AW27" s="616">
        <f>+'[7]Metas'!S27:S42-S27</f>
        <v>0</v>
      </c>
      <c r="AX27" s="616">
        <f>+'[7]Metas'!T27:T42-T27</f>
        <v>0</v>
      </c>
      <c r="AY27" s="616">
        <f>+'[7]Metas'!U27:U42-U27</f>
        <v>0</v>
      </c>
      <c r="AZ27" s="616">
        <f>+'[7]Metas'!V27:V42-V27</f>
        <v>0</v>
      </c>
      <c r="BA27" s="6"/>
      <c r="BB27" s="6"/>
      <c r="BC27" s="6"/>
      <c r="BD27" s="6"/>
      <c r="BE27" s="446"/>
      <c r="BF27" s="446"/>
      <c r="BG27" s="446"/>
      <c r="BH27" s="446"/>
      <c r="BI27" s="446"/>
      <c r="BJ27" s="446"/>
      <c r="BN27" s="6"/>
      <c r="BO27" s="6"/>
      <c r="BP27" s="6"/>
      <c r="BQ27" s="6"/>
      <c r="BR27" s="6"/>
      <c r="BS27" s="6"/>
      <c r="BT27" s="6"/>
      <c r="BU27" s="6"/>
      <c r="BV27" s="6"/>
      <c r="BW27" s="6"/>
      <c r="BX27" s="6"/>
      <c r="BY27" s="6"/>
      <c r="BZ27" s="6"/>
      <c r="CA27" s="6"/>
      <c r="CB27" s="6"/>
      <c r="CC27" s="6"/>
      <c r="CD27" s="6"/>
      <c r="CE27" s="6"/>
    </row>
    <row r="28" spans="1:83" s="618" customFormat="1" ht="15.75">
      <c r="A28" s="608"/>
      <c r="B28" s="608"/>
      <c r="C28" s="608"/>
      <c r="D28" s="608"/>
      <c r="E28" s="608"/>
      <c r="F28" s="608"/>
      <c r="G28" s="609"/>
      <c r="H28" s="431"/>
      <c r="I28" s="619"/>
      <c r="J28" s="432"/>
      <c r="K28" s="432"/>
      <c r="L28" s="432"/>
      <c r="M28" s="432"/>
      <c r="N28" s="619"/>
      <c r="O28" s="620"/>
      <c r="P28" s="621"/>
      <c r="Q28" s="315"/>
      <c r="R28" s="315"/>
      <c r="S28" s="315"/>
      <c r="T28" s="315"/>
      <c r="U28" s="315"/>
      <c r="V28" s="315"/>
      <c r="W28" s="622"/>
      <c r="X28" s="622"/>
      <c r="Y28" s="623"/>
      <c r="Z28" s="624"/>
      <c r="AA28" s="623"/>
      <c r="AB28" s="442" t="s">
        <v>240</v>
      </c>
      <c r="AC28" s="444"/>
      <c r="AD28" s="444"/>
      <c r="AE28" s="444"/>
      <c r="AF28" s="444"/>
      <c r="AG28" s="444"/>
      <c r="AH28" s="444"/>
      <c r="AI28" s="444"/>
      <c r="AJ28" s="444"/>
      <c r="AK28" s="444"/>
      <c r="AL28" s="444"/>
      <c r="AM28" s="444"/>
      <c r="AN28" s="444"/>
      <c r="AO28" s="444"/>
      <c r="AP28" s="444"/>
      <c r="AQ28" s="444">
        <f t="shared" si="5"/>
        <v>0</v>
      </c>
      <c r="AR28" s="445">
        <f t="shared" si="4"/>
        <v>0</v>
      </c>
      <c r="AS28" s="616">
        <f t="shared" si="1"/>
        <v>0</v>
      </c>
      <c r="AT28" s="616">
        <f t="shared" si="1"/>
        <v>0</v>
      </c>
      <c r="AU28" s="616">
        <f t="shared" si="2"/>
        <v>0</v>
      </c>
      <c r="AV28" s="6"/>
      <c r="AW28" s="616">
        <f>+'[7]Metas'!S28:S43-S28</f>
        <v>0</v>
      </c>
      <c r="AX28" s="616">
        <f>+'[7]Metas'!T28:T43-T28</f>
        <v>0</v>
      </c>
      <c r="AY28" s="616">
        <f>+'[7]Metas'!U28:U43-U28</f>
        <v>0</v>
      </c>
      <c r="AZ28" s="616">
        <f>+'[7]Metas'!V28:V43-V28</f>
        <v>0</v>
      </c>
      <c r="BA28" s="6"/>
      <c r="BB28" s="6"/>
      <c r="BC28" s="6"/>
      <c r="BD28" s="6"/>
      <c r="BE28" s="446"/>
      <c r="BF28" s="446"/>
      <c r="BG28" s="446"/>
      <c r="BH28" s="446"/>
      <c r="BI28" s="446"/>
      <c r="BJ28" s="446"/>
      <c r="BN28" s="6"/>
      <c r="BO28" s="6"/>
      <c r="BP28" s="6"/>
      <c r="BQ28" s="6"/>
      <c r="BR28" s="6"/>
      <c r="BS28" s="6"/>
      <c r="BT28" s="6"/>
      <c r="BU28" s="6"/>
      <c r="BV28" s="6"/>
      <c r="BW28" s="6"/>
      <c r="BX28" s="6"/>
      <c r="BY28" s="6"/>
      <c r="BZ28" s="6"/>
      <c r="CA28" s="6"/>
      <c r="CB28" s="6"/>
      <c r="CC28" s="6"/>
      <c r="CD28" s="6"/>
      <c r="CE28" s="6"/>
    </row>
    <row r="29" spans="1:83" s="618" customFormat="1" ht="15.75">
      <c r="A29" s="608"/>
      <c r="B29" s="608"/>
      <c r="C29" s="608"/>
      <c r="D29" s="608"/>
      <c r="E29" s="608"/>
      <c r="F29" s="608"/>
      <c r="G29" s="609"/>
      <c r="H29" s="431"/>
      <c r="I29" s="619"/>
      <c r="J29" s="432"/>
      <c r="K29" s="432"/>
      <c r="L29" s="432"/>
      <c r="M29" s="432"/>
      <c r="N29" s="619"/>
      <c r="O29" s="620"/>
      <c r="P29" s="621"/>
      <c r="Q29" s="315"/>
      <c r="R29" s="315"/>
      <c r="S29" s="315"/>
      <c r="T29" s="315"/>
      <c r="U29" s="315"/>
      <c r="V29" s="315"/>
      <c r="W29" s="622"/>
      <c r="X29" s="622"/>
      <c r="Y29" s="623"/>
      <c r="Z29" s="624"/>
      <c r="AA29" s="623"/>
      <c r="AB29" s="442" t="s">
        <v>241</v>
      </c>
      <c r="AC29" s="444"/>
      <c r="AD29" s="444"/>
      <c r="AE29" s="444"/>
      <c r="AF29" s="444"/>
      <c r="AG29" s="444"/>
      <c r="AH29" s="444"/>
      <c r="AI29" s="444"/>
      <c r="AJ29" s="444"/>
      <c r="AK29" s="444"/>
      <c r="AL29" s="444"/>
      <c r="AM29" s="444"/>
      <c r="AN29" s="444"/>
      <c r="AO29" s="444"/>
      <c r="AP29" s="444"/>
      <c r="AQ29" s="444">
        <f t="shared" si="5"/>
        <v>0</v>
      </c>
      <c r="AR29" s="445">
        <f t="shared" si="4"/>
        <v>0</v>
      </c>
      <c r="AS29" s="616">
        <f t="shared" si="1"/>
        <v>0</v>
      </c>
      <c r="AT29" s="616">
        <f t="shared" si="1"/>
        <v>0</v>
      </c>
      <c r="AU29" s="616">
        <f t="shared" si="2"/>
        <v>0</v>
      </c>
      <c r="AV29" s="6"/>
      <c r="AW29" s="616">
        <f>+'[7]Metas'!S29:S44-S29</f>
        <v>0</v>
      </c>
      <c r="AX29" s="616">
        <f>+'[7]Metas'!T29:T44-T29</f>
        <v>0</v>
      </c>
      <c r="AY29" s="616">
        <f>+'[7]Metas'!U29:U44-U29</f>
        <v>0</v>
      </c>
      <c r="AZ29" s="616">
        <f>+'[7]Metas'!V29:V44-V29</f>
        <v>0</v>
      </c>
      <c r="BA29" s="6"/>
      <c r="BB29" s="6"/>
      <c r="BC29" s="6"/>
      <c r="BD29" s="6"/>
      <c r="BE29" s="446"/>
      <c r="BF29" s="446"/>
      <c r="BG29" s="446"/>
      <c r="BH29" s="446"/>
      <c r="BI29" s="446"/>
      <c r="BJ29" s="446"/>
      <c r="BN29" s="6"/>
      <c r="BO29" s="6"/>
      <c r="BP29" s="6"/>
      <c r="BQ29" s="6"/>
      <c r="BR29" s="6"/>
      <c r="BS29" s="6"/>
      <c r="BT29" s="6"/>
      <c r="BU29" s="6"/>
      <c r="BV29" s="6"/>
      <c r="BW29" s="6"/>
      <c r="BX29" s="6"/>
      <c r="BY29" s="6"/>
      <c r="BZ29" s="6"/>
      <c r="CA29" s="6"/>
      <c r="CB29" s="6"/>
      <c r="CC29" s="6"/>
      <c r="CD29" s="6"/>
      <c r="CE29" s="6"/>
    </row>
    <row r="30" spans="1:83" s="618" customFormat="1" ht="15.75">
      <c r="A30" s="608"/>
      <c r="B30" s="608"/>
      <c r="C30" s="608"/>
      <c r="D30" s="608"/>
      <c r="E30" s="608"/>
      <c r="F30" s="608"/>
      <c r="G30" s="609"/>
      <c r="H30" s="431"/>
      <c r="I30" s="619"/>
      <c r="J30" s="432"/>
      <c r="K30" s="432"/>
      <c r="L30" s="432"/>
      <c r="M30" s="432"/>
      <c r="N30" s="619"/>
      <c r="O30" s="620"/>
      <c r="P30" s="621"/>
      <c r="Q30" s="315"/>
      <c r="R30" s="315"/>
      <c r="S30" s="315"/>
      <c r="T30" s="315"/>
      <c r="U30" s="315"/>
      <c r="V30" s="315"/>
      <c r="W30" s="622"/>
      <c r="X30" s="622"/>
      <c r="Y30" s="623"/>
      <c r="Z30" s="624"/>
      <c r="AA30" s="623"/>
      <c r="AB30" s="447" t="s">
        <v>242</v>
      </c>
      <c r="AC30" s="448">
        <f aca="true" t="shared" si="6" ref="AC30:AR30">SUM(AC24:AC29)+IF(AC22=0,AC23,AC22)</f>
        <v>0</v>
      </c>
      <c r="AD30" s="448">
        <f t="shared" si="6"/>
        <v>0</v>
      </c>
      <c r="AE30" s="448">
        <f t="shared" si="6"/>
        <v>0</v>
      </c>
      <c r="AF30" s="448">
        <f t="shared" si="6"/>
        <v>0</v>
      </c>
      <c r="AG30" s="448">
        <f t="shared" si="6"/>
        <v>0</v>
      </c>
      <c r="AH30" s="448">
        <f t="shared" si="6"/>
        <v>0</v>
      </c>
      <c r="AI30" s="448">
        <f t="shared" si="6"/>
        <v>0</v>
      </c>
      <c r="AJ30" s="448">
        <f t="shared" si="6"/>
        <v>0</v>
      </c>
      <c r="AK30" s="448">
        <f t="shared" si="6"/>
        <v>0</v>
      </c>
      <c r="AL30" s="448">
        <f t="shared" si="6"/>
        <v>0</v>
      </c>
      <c r="AM30" s="448">
        <f t="shared" si="6"/>
        <v>0</v>
      </c>
      <c r="AN30" s="448">
        <f t="shared" si="6"/>
        <v>0</v>
      </c>
      <c r="AO30" s="448">
        <f t="shared" si="6"/>
        <v>0</v>
      </c>
      <c r="AP30" s="448">
        <f t="shared" si="6"/>
        <v>0</v>
      </c>
      <c r="AQ30" s="448">
        <f t="shared" si="6"/>
        <v>0</v>
      </c>
      <c r="AR30" s="449">
        <f t="shared" si="6"/>
        <v>0</v>
      </c>
      <c r="AS30" s="616">
        <f t="shared" si="1"/>
        <v>0</v>
      </c>
      <c r="AT30" s="616">
        <f t="shared" si="1"/>
        <v>0</v>
      </c>
      <c r="AU30" s="616">
        <f t="shared" si="2"/>
        <v>0</v>
      </c>
      <c r="AV30" s="6"/>
      <c r="AW30" s="616">
        <f>+'[7]Metas'!S30:S45-S30</f>
        <v>0</v>
      </c>
      <c r="AX30" s="616">
        <f>+'[7]Metas'!T30:T45-T30</f>
        <v>0</v>
      </c>
      <c r="AY30" s="616">
        <f>+'[7]Metas'!U30:U45-U30</f>
        <v>0</v>
      </c>
      <c r="AZ30" s="616">
        <f>+'[7]Metas'!V30:V45-V30</f>
        <v>0</v>
      </c>
      <c r="BA30" s="6"/>
      <c r="BB30" s="6"/>
      <c r="BC30" s="6"/>
      <c r="BD30" s="6"/>
      <c r="BE30" s="446"/>
      <c r="BF30" s="446"/>
      <c r="BG30" s="446"/>
      <c r="BH30" s="446"/>
      <c r="BI30" s="446"/>
      <c r="BJ30" s="446"/>
      <c r="BN30" s="6"/>
      <c r="BO30" s="6"/>
      <c r="BP30" s="6"/>
      <c r="BQ30" s="6"/>
      <c r="BR30" s="6"/>
      <c r="BS30" s="6"/>
      <c r="BT30" s="6"/>
      <c r="BU30" s="6"/>
      <c r="BV30" s="6"/>
      <c r="BW30" s="6"/>
      <c r="BX30" s="6"/>
      <c r="BY30" s="6"/>
      <c r="BZ30" s="6"/>
      <c r="CA30" s="6"/>
      <c r="CB30" s="6"/>
      <c r="CC30" s="6"/>
      <c r="CD30" s="6"/>
      <c r="CE30" s="6"/>
    </row>
    <row r="31" spans="1:83" s="618" customFormat="1" ht="16.5" thickBot="1">
      <c r="A31" s="608"/>
      <c r="B31" s="608"/>
      <c r="C31" s="608"/>
      <c r="D31" s="608"/>
      <c r="E31" s="608"/>
      <c r="F31" s="608"/>
      <c r="G31" s="609"/>
      <c r="H31" s="451"/>
      <c r="I31" s="625"/>
      <c r="J31" s="452"/>
      <c r="K31" s="452"/>
      <c r="L31" s="452"/>
      <c r="M31" s="452"/>
      <c r="N31" s="625"/>
      <c r="O31" s="626"/>
      <c r="P31" s="627"/>
      <c r="Q31" s="335"/>
      <c r="R31" s="335"/>
      <c r="S31" s="335"/>
      <c r="T31" s="335"/>
      <c r="U31" s="335"/>
      <c r="V31" s="335"/>
      <c r="W31" s="628"/>
      <c r="X31" s="628"/>
      <c r="Y31" s="629"/>
      <c r="Z31" s="630"/>
      <c r="AA31" s="629"/>
      <c r="AB31" s="457" t="s">
        <v>243</v>
      </c>
      <c r="AC31" s="459"/>
      <c r="AD31" s="459"/>
      <c r="AE31" s="459"/>
      <c r="AF31" s="459"/>
      <c r="AG31" s="459"/>
      <c r="AH31" s="459"/>
      <c r="AI31" s="459"/>
      <c r="AJ31" s="459"/>
      <c r="AK31" s="459"/>
      <c r="AL31" s="459"/>
      <c r="AM31" s="459"/>
      <c r="AN31" s="459"/>
      <c r="AO31" s="459"/>
      <c r="AP31" s="459"/>
      <c r="AQ31" s="459">
        <f aca="true" t="shared" si="7" ref="AQ31:AR37">+AC31+AE31+AG31+AI31+AK31+AM31+AO31</f>
        <v>0</v>
      </c>
      <c r="AR31" s="460">
        <f t="shared" si="7"/>
        <v>0</v>
      </c>
      <c r="AS31" s="616">
        <f t="shared" si="1"/>
        <v>0</v>
      </c>
      <c r="AT31" s="616">
        <f t="shared" si="1"/>
        <v>0</v>
      </c>
      <c r="AU31" s="616">
        <f t="shared" si="2"/>
        <v>0</v>
      </c>
      <c r="AV31" s="6"/>
      <c r="AW31" s="616">
        <f>+'[7]Metas'!S31:S46-S31</f>
        <v>0</v>
      </c>
      <c r="AX31" s="616">
        <f>+'[7]Metas'!T31:T46-T31</f>
        <v>0</v>
      </c>
      <c r="AY31" s="616">
        <f>+'[7]Metas'!U31:U46-U31</f>
        <v>0</v>
      </c>
      <c r="AZ31" s="616">
        <f>+'[7]Metas'!V31:V46-V31</f>
        <v>0</v>
      </c>
      <c r="BA31" s="6"/>
      <c r="BB31" s="6"/>
      <c r="BC31" s="6"/>
      <c r="BD31" s="6"/>
      <c r="BE31" s="446"/>
      <c r="BF31" s="446"/>
      <c r="BG31" s="446"/>
      <c r="BH31" s="446"/>
      <c r="BI31" s="446"/>
      <c r="BJ31" s="446"/>
      <c r="BN31" s="6"/>
      <c r="BO31" s="6"/>
      <c r="BP31" s="6"/>
      <c r="BQ31" s="6"/>
      <c r="BR31" s="6"/>
      <c r="BS31" s="6"/>
      <c r="BT31" s="6"/>
      <c r="BU31" s="6"/>
      <c r="BV31" s="6"/>
      <c r="BW31" s="6"/>
      <c r="BX31" s="6"/>
      <c r="BY31" s="6"/>
      <c r="BZ31" s="6"/>
      <c r="CA31" s="6"/>
      <c r="CB31" s="6"/>
      <c r="CC31" s="6"/>
      <c r="CD31" s="6"/>
      <c r="CE31" s="6"/>
    </row>
    <row r="32" spans="1:83" s="618" customFormat="1" ht="21" customHeight="1">
      <c r="A32" s="608" t="s">
        <v>284</v>
      </c>
      <c r="B32" s="608" t="s">
        <v>285</v>
      </c>
      <c r="C32" s="608" t="s">
        <v>218</v>
      </c>
      <c r="D32" s="608" t="s">
        <v>219</v>
      </c>
      <c r="E32" s="608" t="s">
        <v>220</v>
      </c>
      <c r="F32" s="608" t="s">
        <v>286</v>
      </c>
      <c r="G32" s="609">
        <v>12</v>
      </c>
      <c r="H32" s="416">
        <v>879</v>
      </c>
      <c r="I32" s="610" t="s">
        <v>403</v>
      </c>
      <c r="J32" s="418"/>
      <c r="K32" s="418" t="s">
        <v>26</v>
      </c>
      <c r="L32" s="418"/>
      <c r="M32" s="418">
        <v>0</v>
      </c>
      <c r="N32" s="610" t="s">
        <v>114</v>
      </c>
      <c r="O32" s="611">
        <v>0.45</v>
      </c>
      <c r="P32" s="612">
        <v>0.08</v>
      </c>
      <c r="Q32" s="300">
        <f>SUMIF('Actividades inversión 879'!$B$13:$B$17,'Metas inversión 879'!$B32,'Actividades inversión 879'!M$13:M$17)</f>
        <v>87550000</v>
      </c>
      <c r="R32" s="300">
        <f>SUMIF('Actividades inversión 879'!$B$13:$B$17,'Metas inversión 879'!$B32,'Actividades inversión 879'!N$13:N$17)</f>
        <v>87550000</v>
      </c>
      <c r="S32" s="300">
        <f>SUMIF('Actividades inversión 879'!$B$13:$B$17,'Metas inversión 879'!$B32,'Actividades inversión 879'!O$13:O$17)</f>
        <v>87336400</v>
      </c>
      <c r="T32" s="300">
        <f>SUMIF('Actividades inversión 879'!$B$13:$B$17,'Metas inversión 879'!$B32,'Actividades inversión 879'!P$13:P$17)</f>
        <v>23580828</v>
      </c>
      <c r="U32" s="300">
        <f>SUMIF('Actividades inversión 879'!$B$13:$B$17,'Metas inversión 879'!$B32,'Actividades inversión 879'!Q$13:Q$17)</f>
        <v>29252300</v>
      </c>
      <c r="V32" s="300">
        <f>SUMIF('Actividades inversión 879'!$B$13:$B$17,'Metas inversión 879'!$B32,'Actividades inversión 879'!R$13:R$17)</f>
        <v>29252300</v>
      </c>
      <c r="W32" s="613" t="s">
        <v>398</v>
      </c>
      <c r="X32" s="613" t="s">
        <v>399</v>
      </c>
      <c r="Y32" s="614" t="s">
        <v>400</v>
      </c>
      <c r="Z32" s="615" t="s">
        <v>401</v>
      </c>
      <c r="AA32" s="614" t="s">
        <v>402</v>
      </c>
      <c r="AB32" s="465" t="s">
        <v>228</v>
      </c>
      <c r="AC32" s="467"/>
      <c r="AD32" s="467"/>
      <c r="AE32" s="467"/>
      <c r="AF32" s="467"/>
      <c r="AG32" s="467"/>
      <c r="AH32" s="467"/>
      <c r="AI32" s="467"/>
      <c r="AJ32" s="467"/>
      <c r="AK32" s="467"/>
      <c r="AL32" s="467"/>
      <c r="AM32" s="467"/>
      <c r="AN32" s="467"/>
      <c r="AO32" s="467"/>
      <c r="AP32" s="467"/>
      <c r="AQ32" s="467">
        <f t="shared" si="7"/>
        <v>0</v>
      </c>
      <c r="AR32" s="468">
        <f t="shared" si="7"/>
        <v>0</v>
      </c>
      <c r="AS32" s="616">
        <f t="shared" si="1"/>
        <v>213600</v>
      </c>
      <c r="AT32" s="616">
        <f t="shared" si="1"/>
        <v>63755572</v>
      </c>
      <c r="AU32" s="616">
        <f t="shared" si="2"/>
        <v>0</v>
      </c>
      <c r="AV32" s="6"/>
      <c r="AW32" s="616">
        <f>+'[7]Metas'!S32:S47-S32</f>
        <v>-15008080</v>
      </c>
      <c r="AX32" s="616">
        <f>+'[7]Metas'!T32:T47-T32</f>
        <v>32674532</v>
      </c>
      <c r="AY32" s="616">
        <f>+'[7]Metas'!U32:U47-U32</f>
        <v>6411320</v>
      </c>
      <c r="AZ32" s="616">
        <f>+'[7]Metas'!V32:V47-V32</f>
        <v>4594180</v>
      </c>
      <c r="BA32" s="6"/>
      <c r="BB32" s="6"/>
      <c r="BC32" s="6"/>
      <c r="BD32" s="6"/>
      <c r="BE32" s="617">
        <f>SUM('[6]99-METROPOLITANO'!N30)</f>
        <v>87550000</v>
      </c>
      <c r="BF32" s="617">
        <f>SUM('[6]99-METROPOLITANO'!O30)</f>
        <v>87550000</v>
      </c>
      <c r="BG32" s="617">
        <f>SUM('[6]99-METROPOLITANO'!P30)</f>
        <v>87336400</v>
      </c>
      <c r="BH32" s="617">
        <f>SUM('[6]99-METROPOLITANO'!Q30)</f>
        <v>23580828</v>
      </c>
      <c r="BI32" s="617">
        <f>SUM('[6]99-METROPOLITANO'!R30)</f>
        <v>29252300</v>
      </c>
      <c r="BJ32" s="617">
        <f>SUM('[6]99-METROPOLITANO'!S30)</f>
        <v>29252300</v>
      </c>
      <c r="BN32" s="6"/>
      <c r="BO32" s="6"/>
      <c r="BP32" s="6"/>
      <c r="BQ32" s="6"/>
      <c r="BR32" s="6"/>
      <c r="BS32" s="6"/>
      <c r="BT32" s="6"/>
      <c r="BU32" s="6"/>
      <c r="BV32" s="6"/>
      <c r="BW32" s="6"/>
      <c r="BX32" s="6"/>
      <c r="BY32" s="6"/>
      <c r="BZ32" s="6"/>
      <c r="CA32" s="6"/>
      <c r="CB32" s="6"/>
      <c r="CC32" s="6"/>
      <c r="CD32" s="6"/>
      <c r="CE32" s="6"/>
    </row>
    <row r="33" spans="1:83" s="618" customFormat="1" ht="15.75">
      <c r="A33" s="608"/>
      <c r="B33" s="608"/>
      <c r="C33" s="608"/>
      <c r="D33" s="608"/>
      <c r="E33" s="608"/>
      <c r="F33" s="608"/>
      <c r="G33" s="609"/>
      <c r="H33" s="431"/>
      <c r="I33" s="619"/>
      <c r="J33" s="432"/>
      <c r="K33" s="432"/>
      <c r="L33" s="432"/>
      <c r="M33" s="432"/>
      <c r="N33" s="619"/>
      <c r="O33" s="620"/>
      <c r="P33" s="621"/>
      <c r="Q33" s="315"/>
      <c r="R33" s="315"/>
      <c r="S33" s="315"/>
      <c r="T33" s="315"/>
      <c r="U33" s="315"/>
      <c r="V33" s="315"/>
      <c r="W33" s="622"/>
      <c r="X33" s="622"/>
      <c r="Y33" s="623"/>
      <c r="Z33" s="624"/>
      <c r="AA33" s="623"/>
      <c r="AB33" s="450" t="s">
        <v>229</v>
      </c>
      <c r="AC33" s="444"/>
      <c r="AD33" s="444"/>
      <c r="AE33" s="444"/>
      <c r="AF33" s="444"/>
      <c r="AG33" s="444"/>
      <c r="AH33" s="444"/>
      <c r="AI33" s="444"/>
      <c r="AJ33" s="444"/>
      <c r="AK33" s="444"/>
      <c r="AL33" s="444"/>
      <c r="AM33" s="444"/>
      <c r="AN33" s="444"/>
      <c r="AO33" s="444"/>
      <c r="AP33" s="444"/>
      <c r="AQ33" s="444">
        <f t="shared" si="7"/>
        <v>0</v>
      </c>
      <c r="AR33" s="445">
        <f t="shared" si="7"/>
        <v>0</v>
      </c>
      <c r="AS33" s="616">
        <f t="shared" si="1"/>
        <v>0</v>
      </c>
      <c r="AT33" s="616">
        <f t="shared" si="1"/>
        <v>0</v>
      </c>
      <c r="AU33" s="616">
        <f t="shared" si="2"/>
        <v>0</v>
      </c>
      <c r="AV33" s="6"/>
      <c r="AW33" s="616">
        <f>+'[7]Metas'!S33:S48-S33</f>
        <v>0</v>
      </c>
      <c r="AX33" s="616">
        <f>+'[7]Metas'!T33:T48-T33</f>
        <v>0</v>
      </c>
      <c r="AY33" s="616">
        <f>+'[7]Metas'!U33:U48-U33</f>
        <v>0</v>
      </c>
      <c r="AZ33" s="616">
        <f>+'[7]Metas'!V33:V48-V33</f>
        <v>0</v>
      </c>
      <c r="BA33" s="6"/>
      <c r="BB33" s="6"/>
      <c r="BC33" s="6"/>
      <c r="BD33" s="6"/>
      <c r="BE33" s="446"/>
      <c r="BF33" s="446"/>
      <c r="BG33" s="446"/>
      <c r="BH33" s="446"/>
      <c r="BI33" s="446"/>
      <c r="BJ33" s="446"/>
      <c r="BN33" s="6"/>
      <c r="BO33" s="6"/>
      <c r="BP33" s="6"/>
      <c r="BQ33" s="6"/>
      <c r="BR33" s="6"/>
      <c r="BS33" s="6"/>
      <c r="BT33" s="6"/>
      <c r="BU33" s="6"/>
      <c r="BV33" s="6"/>
      <c r="BW33" s="6"/>
      <c r="BX33" s="6"/>
      <c r="BY33" s="6"/>
      <c r="BZ33" s="6"/>
      <c r="CA33" s="6"/>
      <c r="CB33" s="6"/>
      <c r="CC33" s="6"/>
      <c r="CD33" s="6"/>
      <c r="CE33" s="6"/>
    </row>
    <row r="34" spans="1:83" s="618" customFormat="1" ht="15.75">
      <c r="A34" s="608"/>
      <c r="B34" s="608"/>
      <c r="C34" s="608"/>
      <c r="D34" s="608"/>
      <c r="E34" s="608"/>
      <c r="F34" s="608"/>
      <c r="G34" s="609"/>
      <c r="H34" s="431"/>
      <c r="I34" s="619"/>
      <c r="J34" s="432"/>
      <c r="K34" s="432"/>
      <c r="L34" s="432"/>
      <c r="M34" s="432"/>
      <c r="N34" s="619"/>
      <c r="O34" s="620"/>
      <c r="P34" s="621"/>
      <c r="Q34" s="315"/>
      <c r="R34" s="315"/>
      <c r="S34" s="315"/>
      <c r="T34" s="315"/>
      <c r="U34" s="315"/>
      <c r="V34" s="315"/>
      <c r="W34" s="622"/>
      <c r="X34" s="622"/>
      <c r="Y34" s="623"/>
      <c r="Z34" s="624"/>
      <c r="AA34" s="623"/>
      <c r="AB34" s="450" t="s">
        <v>230</v>
      </c>
      <c r="AC34" s="444"/>
      <c r="AD34" s="444"/>
      <c r="AE34" s="444"/>
      <c r="AF34" s="444"/>
      <c r="AG34" s="444"/>
      <c r="AH34" s="444"/>
      <c r="AI34" s="444"/>
      <c r="AJ34" s="444"/>
      <c r="AK34" s="444"/>
      <c r="AL34" s="444"/>
      <c r="AM34" s="444"/>
      <c r="AN34" s="444"/>
      <c r="AO34" s="444"/>
      <c r="AP34" s="444"/>
      <c r="AQ34" s="444">
        <f t="shared" si="7"/>
        <v>0</v>
      </c>
      <c r="AR34" s="445">
        <f t="shared" si="7"/>
        <v>0</v>
      </c>
      <c r="AS34" s="616">
        <f t="shared" si="1"/>
        <v>0</v>
      </c>
      <c r="AT34" s="616">
        <f t="shared" si="1"/>
        <v>0</v>
      </c>
      <c r="AU34" s="616">
        <f t="shared" si="2"/>
        <v>0</v>
      </c>
      <c r="AV34" s="6"/>
      <c r="AW34" s="616">
        <f>+'[7]Metas'!S34:S49-S34</f>
        <v>0</v>
      </c>
      <c r="AX34" s="616">
        <f>+'[7]Metas'!T34:T49-T34</f>
        <v>0</v>
      </c>
      <c r="AY34" s="616">
        <f>+'[7]Metas'!U34:U49-U34</f>
        <v>0</v>
      </c>
      <c r="AZ34" s="616">
        <f>+'[7]Metas'!V34:V49-V34</f>
        <v>0</v>
      </c>
      <c r="BA34" s="6"/>
      <c r="BB34" s="6"/>
      <c r="BC34" s="6"/>
      <c r="BD34" s="6"/>
      <c r="BE34" s="446"/>
      <c r="BF34" s="446"/>
      <c r="BG34" s="446"/>
      <c r="BH34" s="446"/>
      <c r="BI34" s="446"/>
      <c r="BJ34" s="446"/>
      <c r="BN34" s="6"/>
      <c r="BO34" s="6"/>
      <c r="BP34" s="6"/>
      <c r="BQ34" s="6"/>
      <c r="BR34" s="6"/>
      <c r="BS34" s="6"/>
      <c r="BT34" s="6"/>
      <c r="BU34" s="6"/>
      <c r="BV34" s="6"/>
      <c r="BW34" s="6"/>
      <c r="BX34" s="6"/>
      <c r="BY34" s="6"/>
      <c r="BZ34" s="6"/>
      <c r="CA34" s="6"/>
      <c r="CB34" s="6"/>
      <c r="CC34" s="6"/>
      <c r="CD34" s="6"/>
      <c r="CE34" s="6"/>
    </row>
    <row r="35" spans="1:83" s="618" customFormat="1" ht="15.75">
      <c r="A35" s="608"/>
      <c r="B35" s="608"/>
      <c r="C35" s="608"/>
      <c r="D35" s="608"/>
      <c r="E35" s="608"/>
      <c r="F35" s="608"/>
      <c r="G35" s="609"/>
      <c r="H35" s="431"/>
      <c r="I35" s="619"/>
      <c r="J35" s="432"/>
      <c r="K35" s="432"/>
      <c r="L35" s="432"/>
      <c r="M35" s="432"/>
      <c r="N35" s="619"/>
      <c r="O35" s="620"/>
      <c r="P35" s="621"/>
      <c r="Q35" s="315"/>
      <c r="R35" s="315"/>
      <c r="S35" s="315"/>
      <c r="T35" s="315"/>
      <c r="U35" s="315"/>
      <c r="V35" s="315"/>
      <c r="W35" s="622"/>
      <c r="X35" s="622"/>
      <c r="Y35" s="623"/>
      <c r="Z35" s="624"/>
      <c r="AA35" s="623"/>
      <c r="AB35" s="450" t="s">
        <v>231</v>
      </c>
      <c r="AC35" s="444"/>
      <c r="AD35" s="444"/>
      <c r="AE35" s="444"/>
      <c r="AF35" s="444"/>
      <c r="AG35" s="444"/>
      <c r="AH35" s="444"/>
      <c r="AI35" s="444"/>
      <c r="AJ35" s="444"/>
      <c r="AK35" s="444"/>
      <c r="AL35" s="444"/>
      <c r="AM35" s="444"/>
      <c r="AN35" s="444"/>
      <c r="AO35" s="444"/>
      <c r="AP35" s="444"/>
      <c r="AQ35" s="444">
        <f t="shared" si="7"/>
        <v>0</v>
      </c>
      <c r="AR35" s="445">
        <f t="shared" si="7"/>
        <v>0</v>
      </c>
      <c r="AS35" s="616">
        <f t="shared" si="1"/>
        <v>0</v>
      </c>
      <c r="AT35" s="616">
        <f t="shared" si="1"/>
        <v>0</v>
      </c>
      <c r="AU35" s="616">
        <f t="shared" si="2"/>
        <v>0</v>
      </c>
      <c r="AV35" s="6"/>
      <c r="AW35" s="616">
        <f>+'[7]Metas'!S35:S50-S35</f>
        <v>0</v>
      </c>
      <c r="AX35" s="616">
        <f>+'[7]Metas'!T35:T50-T35</f>
        <v>0</v>
      </c>
      <c r="AY35" s="616">
        <f>+'[7]Metas'!U35:U50-U35</f>
        <v>0</v>
      </c>
      <c r="AZ35" s="616">
        <f>+'[7]Metas'!V35:V50-V35</f>
        <v>0</v>
      </c>
      <c r="BA35" s="6"/>
      <c r="BB35" s="6"/>
      <c r="BC35" s="6"/>
      <c r="BD35" s="6"/>
      <c r="BE35" s="446"/>
      <c r="BF35" s="446"/>
      <c r="BG35" s="446"/>
      <c r="BH35" s="446"/>
      <c r="BI35" s="446"/>
      <c r="BJ35" s="446"/>
      <c r="BN35" s="6"/>
      <c r="BO35" s="6"/>
      <c r="BP35" s="6"/>
      <c r="BQ35" s="6"/>
      <c r="BR35" s="6"/>
      <c r="BS35" s="6"/>
      <c r="BT35" s="6"/>
      <c r="BU35" s="6"/>
      <c r="BV35" s="6"/>
      <c r="BW35" s="6"/>
      <c r="BX35" s="6"/>
      <c r="BY35" s="6"/>
      <c r="BZ35" s="6"/>
      <c r="CA35" s="6"/>
      <c r="CB35" s="6"/>
      <c r="CC35" s="6"/>
      <c r="CD35" s="6"/>
      <c r="CE35" s="6"/>
    </row>
    <row r="36" spans="1:83" s="618" customFormat="1" ht="15.75">
      <c r="A36" s="608"/>
      <c r="B36" s="608"/>
      <c r="C36" s="608"/>
      <c r="D36" s="608"/>
      <c r="E36" s="608"/>
      <c r="F36" s="608"/>
      <c r="G36" s="609"/>
      <c r="H36" s="431"/>
      <c r="I36" s="619"/>
      <c r="J36" s="432"/>
      <c r="K36" s="432"/>
      <c r="L36" s="432"/>
      <c r="M36" s="432"/>
      <c r="N36" s="619"/>
      <c r="O36" s="620"/>
      <c r="P36" s="621"/>
      <c r="Q36" s="315"/>
      <c r="R36" s="315"/>
      <c r="S36" s="315"/>
      <c r="T36" s="315"/>
      <c r="U36" s="315"/>
      <c r="V36" s="315"/>
      <c r="W36" s="622"/>
      <c r="X36" s="622"/>
      <c r="Y36" s="623"/>
      <c r="Z36" s="624"/>
      <c r="AA36" s="623"/>
      <c r="AB36" s="450" t="s">
        <v>232</v>
      </c>
      <c r="AC36" s="444"/>
      <c r="AD36" s="444"/>
      <c r="AE36" s="444"/>
      <c r="AF36" s="444"/>
      <c r="AG36" s="444"/>
      <c r="AH36" s="444"/>
      <c r="AI36" s="444"/>
      <c r="AJ36" s="444"/>
      <c r="AK36" s="444"/>
      <c r="AL36" s="444"/>
      <c r="AM36" s="444"/>
      <c r="AN36" s="444"/>
      <c r="AO36" s="444"/>
      <c r="AP36" s="444"/>
      <c r="AQ36" s="444">
        <f t="shared" si="7"/>
        <v>0</v>
      </c>
      <c r="AR36" s="445">
        <f t="shared" si="7"/>
        <v>0</v>
      </c>
      <c r="AS36" s="616">
        <f t="shared" si="1"/>
        <v>0</v>
      </c>
      <c r="AT36" s="616">
        <f t="shared" si="1"/>
        <v>0</v>
      </c>
      <c r="AU36" s="616">
        <f t="shared" si="2"/>
        <v>0</v>
      </c>
      <c r="AV36" s="6"/>
      <c r="AW36" s="616">
        <f>+'[7]Metas'!S36:S51-S36</f>
        <v>0</v>
      </c>
      <c r="AX36" s="616">
        <f>+'[7]Metas'!T36:T51-T36</f>
        <v>0</v>
      </c>
      <c r="AY36" s="616">
        <f>+'[7]Metas'!U36:U51-U36</f>
        <v>0</v>
      </c>
      <c r="AZ36" s="616">
        <f>+'[7]Metas'!V36:V51-V36</f>
        <v>0</v>
      </c>
      <c r="BA36" s="6"/>
      <c r="BB36" s="6"/>
      <c r="BC36" s="6"/>
      <c r="BD36" s="6"/>
      <c r="BE36" s="446"/>
      <c r="BF36" s="446"/>
      <c r="BG36" s="446"/>
      <c r="BH36" s="446"/>
      <c r="BI36" s="446"/>
      <c r="BJ36" s="446"/>
      <c r="BN36" s="6"/>
      <c r="BO36" s="6"/>
      <c r="BP36" s="6"/>
      <c r="BQ36" s="6"/>
      <c r="BR36" s="6"/>
      <c r="BS36" s="6"/>
      <c r="BT36" s="6"/>
      <c r="BU36" s="6"/>
      <c r="BV36" s="6"/>
      <c r="BW36" s="6"/>
      <c r="BX36" s="6"/>
      <c r="BY36" s="6"/>
      <c r="BZ36" s="6"/>
      <c r="CA36" s="6"/>
      <c r="CB36" s="6"/>
      <c r="CC36" s="6"/>
      <c r="CD36" s="6"/>
      <c r="CE36" s="6"/>
    </row>
    <row r="37" spans="1:83" s="618" customFormat="1" ht="15.75">
      <c r="A37" s="608"/>
      <c r="B37" s="608"/>
      <c r="C37" s="608"/>
      <c r="D37" s="608"/>
      <c r="E37" s="608"/>
      <c r="F37" s="608"/>
      <c r="G37" s="609"/>
      <c r="H37" s="431"/>
      <c r="I37" s="619"/>
      <c r="J37" s="432"/>
      <c r="K37" s="432"/>
      <c r="L37" s="432"/>
      <c r="M37" s="432"/>
      <c r="N37" s="619"/>
      <c r="O37" s="620"/>
      <c r="P37" s="621"/>
      <c r="Q37" s="315"/>
      <c r="R37" s="315"/>
      <c r="S37" s="315"/>
      <c r="T37" s="315"/>
      <c r="U37" s="315"/>
      <c r="V37" s="315"/>
      <c r="W37" s="622"/>
      <c r="X37" s="622"/>
      <c r="Y37" s="623"/>
      <c r="Z37" s="624"/>
      <c r="AA37" s="623"/>
      <c r="AB37" s="442" t="s">
        <v>233</v>
      </c>
      <c r="AC37" s="444"/>
      <c r="AD37" s="444"/>
      <c r="AE37" s="444"/>
      <c r="AF37" s="444"/>
      <c r="AG37" s="444"/>
      <c r="AH37" s="444"/>
      <c r="AI37" s="444"/>
      <c r="AJ37" s="444"/>
      <c r="AK37" s="444"/>
      <c r="AL37" s="444"/>
      <c r="AM37" s="444"/>
      <c r="AN37" s="444"/>
      <c r="AO37" s="444"/>
      <c r="AP37" s="444"/>
      <c r="AQ37" s="444">
        <f t="shared" si="7"/>
        <v>0</v>
      </c>
      <c r="AR37" s="445">
        <f t="shared" si="7"/>
        <v>0</v>
      </c>
      <c r="AS37" s="616">
        <f t="shared" si="1"/>
        <v>0</v>
      </c>
      <c r="AT37" s="616">
        <f t="shared" si="1"/>
        <v>0</v>
      </c>
      <c r="AU37" s="616">
        <f t="shared" si="2"/>
        <v>0</v>
      </c>
      <c r="AV37" s="6"/>
      <c r="AW37" s="616">
        <f>+'[7]Metas'!S37:S52-S37</f>
        <v>0</v>
      </c>
      <c r="AX37" s="616">
        <f>+'[7]Metas'!T37:T52-T37</f>
        <v>0</v>
      </c>
      <c r="AY37" s="616">
        <f>+'[7]Metas'!U37:U52-U37</f>
        <v>0</v>
      </c>
      <c r="AZ37" s="616">
        <f>+'[7]Metas'!V37:V52-V37</f>
        <v>0</v>
      </c>
      <c r="BA37" s="6"/>
      <c r="BB37" s="6"/>
      <c r="BC37" s="6"/>
      <c r="BD37" s="6"/>
      <c r="BE37" s="446"/>
      <c r="BF37" s="446"/>
      <c r="BG37" s="446"/>
      <c r="BH37" s="446"/>
      <c r="BI37" s="446"/>
      <c r="BJ37" s="446"/>
      <c r="BN37" s="6"/>
      <c r="BO37" s="6"/>
      <c r="BP37" s="6"/>
      <c r="BQ37" s="6"/>
      <c r="BR37" s="6"/>
      <c r="BS37" s="6"/>
      <c r="BT37" s="6"/>
      <c r="BU37" s="6"/>
      <c r="BV37" s="6"/>
      <c r="BW37" s="6"/>
      <c r="BX37" s="6"/>
      <c r="BY37" s="6"/>
      <c r="BZ37" s="6"/>
      <c r="CA37" s="6"/>
      <c r="CB37" s="6"/>
      <c r="CC37" s="6"/>
      <c r="CD37" s="6"/>
      <c r="CE37" s="6"/>
    </row>
    <row r="38" spans="1:83" s="618" customFormat="1" ht="15.75">
      <c r="A38" s="608"/>
      <c r="B38" s="608"/>
      <c r="C38" s="608"/>
      <c r="D38" s="608"/>
      <c r="E38" s="608"/>
      <c r="F38" s="608"/>
      <c r="G38" s="609"/>
      <c r="H38" s="431"/>
      <c r="I38" s="619"/>
      <c r="J38" s="432"/>
      <c r="K38" s="432"/>
      <c r="L38" s="432"/>
      <c r="M38" s="432"/>
      <c r="N38" s="619"/>
      <c r="O38" s="620"/>
      <c r="P38" s="621"/>
      <c r="Q38" s="315"/>
      <c r="R38" s="315"/>
      <c r="S38" s="315"/>
      <c r="T38" s="315"/>
      <c r="U38" s="315"/>
      <c r="V38" s="315"/>
      <c r="W38" s="622"/>
      <c r="X38" s="622"/>
      <c r="Y38" s="623"/>
      <c r="Z38" s="624"/>
      <c r="AA38" s="623"/>
      <c r="AB38" s="447" t="s">
        <v>234</v>
      </c>
      <c r="AC38" s="448">
        <f aca="true" t="shared" si="8" ref="AC38:AR38">SUM(AC32:AC37)</f>
        <v>0</v>
      </c>
      <c r="AD38" s="448">
        <f t="shared" si="8"/>
        <v>0</v>
      </c>
      <c r="AE38" s="448">
        <f t="shared" si="8"/>
        <v>0</v>
      </c>
      <c r="AF38" s="448">
        <f t="shared" si="8"/>
        <v>0</v>
      </c>
      <c r="AG38" s="448">
        <f t="shared" si="8"/>
        <v>0</v>
      </c>
      <c r="AH38" s="448">
        <f t="shared" si="8"/>
        <v>0</v>
      </c>
      <c r="AI38" s="448">
        <f t="shared" si="8"/>
        <v>0</v>
      </c>
      <c r="AJ38" s="448">
        <f t="shared" si="8"/>
        <v>0</v>
      </c>
      <c r="AK38" s="448">
        <f t="shared" si="8"/>
        <v>0</v>
      </c>
      <c r="AL38" s="448">
        <f t="shared" si="8"/>
        <v>0</v>
      </c>
      <c r="AM38" s="448">
        <f t="shared" si="8"/>
        <v>0</v>
      </c>
      <c r="AN38" s="448">
        <f t="shared" si="8"/>
        <v>0</v>
      </c>
      <c r="AO38" s="448">
        <f t="shared" si="8"/>
        <v>0</v>
      </c>
      <c r="AP38" s="448">
        <f t="shared" si="8"/>
        <v>0</v>
      </c>
      <c r="AQ38" s="448">
        <f t="shared" si="8"/>
        <v>0</v>
      </c>
      <c r="AR38" s="449">
        <f t="shared" si="8"/>
        <v>0</v>
      </c>
      <c r="AS38" s="616">
        <f t="shared" si="1"/>
        <v>0</v>
      </c>
      <c r="AT38" s="616">
        <f t="shared" si="1"/>
        <v>0</v>
      </c>
      <c r="AU38" s="616">
        <f t="shared" si="2"/>
        <v>0</v>
      </c>
      <c r="AV38" s="6"/>
      <c r="AW38" s="616">
        <f>+'[7]Metas'!S38:S53-S38</f>
        <v>0</v>
      </c>
      <c r="AX38" s="616">
        <f>+'[7]Metas'!T38:T53-T38</f>
        <v>0</v>
      </c>
      <c r="AY38" s="616">
        <f>+'[7]Metas'!U38:U53-U38</f>
        <v>0</v>
      </c>
      <c r="AZ38" s="616">
        <f>+'[7]Metas'!V38:V53-V38</f>
        <v>0</v>
      </c>
      <c r="BA38" s="6"/>
      <c r="BB38" s="6"/>
      <c r="BC38" s="6"/>
      <c r="BD38" s="6"/>
      <c r="BE38" s="446"/>
      <c r="BF38" s="446"/>
      <c r="BG38" s="446"/>
      <c r="BH38" s="446"/>
      <c r="BI38" s="446"/>
      <c r="BJ38" s="446"/>
      <c r="BN38" s="6"/>
      <c r="BO38" s="6"/>
      <c r="BP38" s="6"/>
      <c r="BQ38" s="6"/>
      <c r="BR38" s="6"/>
      <c r="BS38" s="6"/>
      <c r="BT38" s="6"/>
      <c r="BU38" s="6"/>
      <c r="BV38" s="6"/>
      <c r="BW38" s="6"/>
      <c r="BX38" s="6"/>
      <c r="BY38" s="6"/>
      <c r="BZ38" s="6"/>
      <c r="CA38" s="6"/>
      <c r="CB38" s="6"/>
      <c r="CC38" s="6"/>
      <c r="CD38" s="6"/>
      <c r="CE38" s="6"/>
    </row>
    <row r="39" spans="1:83" s="618" customFormat="1" ht="15.75">
      <c r="A39" s="608"/>
      <c r="B39" s="608"/>
      <c r="C39" s="608"/>
      <c r="D39" s="608"/>
      <c r="E39" s="608"/>
      <c r="F39" s="608"/>
      <c r="G39" s="609"/>
      <c r="H39" s="431"/>
      <c r="I39" s="619"/>
      <c r="J39" s="432"/>
      <c r="K39" s="432"/>
      <c r="L39" s="432"/>
      <c r="M39" s="432"/>
      <c r="N39" s="619"/>
      <c r="O39" s="620"/>
      <c r="P39" s="621"/>
      <c r="Q39" s="315"/>
      <c r="R39" s="315"/>
      <c r="S39" s="315"/>
      <c r="T39" s="315"/>
      <c r="U39" s="315"/>
      <c r="V39" s="315"/>
      <c r="W39" s="622"/>
      <c r="X39" s="622"/>
      <c r="Y39" s="623"/>
      <c r="Z39" s="624"/>
      <c r="AA39" s="623"/>
      <c r="AB39" s="450" t="s">
        <v>235</v>
      </c>
      <c r="AC39" s="444"/>
      <c r="AD39" s="444"/>
      <c r="AE39" s="444"/>
      <c r="AF39" s="444"/>
      <c r="AG39" s="444"/>
      <c r="AH39" s="444"/>
      <c r="AI39" s="444"/>
      <c r="AJ39" s="444"/>
      <c r="AK39" s="444"/>
      <c r="AL39" s="444"/>
      <c r="AM39" s="444"/>
      <c r="AN39" s="444"/>
      <c r="AO39" s="444"/>
      <c r="AP39" s="444"/>
      <c r="AQ39" s="444">
        <f>+AC39+AE39+AG39+AI39+AK39+AM39+AO39</f>
        <v>0</v>
      </c>
      <c r="AR39" s="445">
        <f aca="true" t="shared" si="9" ref="AR39:AR45">+AD39+AF39+AH39+AJ39+AL39+AN39+AP39</f>
        <v>0</v>
      </c>
      <c r="AS39" s="616">
        <f t="shared" si="1"/>
        <v>0</v>
      </c>
      <c r="AT39" s="616">
        <f t="shared" si="1"/>
        <v>0</v>
      </c>
      <c r="AU39" s="616">
        <f t="shared" si="2"/>
        <v>0</v>
      </c>
      <c r="AV39" s="6"/>
      <c r="AW39" s="616">
        <f>+'[7]Metas'!S39:S54-S39</f>
        <v>0</v>
      </c>
      <c r="AX39" s="616">
        <f>+'[7]Metas'!T39:T54-T39</f>
        <v>0</v>
      </c>
      <c r="AY39" s="616">
        <f>+'[7]Metas'!U39:U54-U39</f>
        <v>0</v>
      </c>
      <c r="AZ39" s="616">
        <f>+'[7]Metas'!V39:V54-V39</f>
        <v>0</v>
      </c>
      <c r="BA39" s="6"/>
      <c r="BB39" s="6"/>
      <c r="BC39" s="6"/>
      <c r="BD39" s="6"/>
      <c r="BE39" s="446"/>
      <c r="BF39" s="446"/>
      <c r="BG39" s="446"/>
      <c r="BH39" s="446"/>
      <c r="BI39" s="446"/>
      <c r="BJ39" s="446"/>
      <c r="BN39" s="6"/>
      <c r="BO39" s="6"/>
      <c r="BP39" s="6"/>
      <c r="BQ39" s="6"/>
      <c r="BR39" s="6"/>
      <c r="BS39" s="6"/>
      <c r="BT39" s="6"/>
      <c r="BU39" s="6"/>
      <c r="BV39" s="6"/>
      <c r="BW39" s="6"/>
      <c r="BX39" s="6"/>
      <c r="BY39" s="6"/>
      <c r="BZ39" s="6"/>
      <c r="CA39" s="6"/>
      <c r="CB39" s="6"/>
      <c r="CC39" s="6"/>
      <c r="CD39" s="6"/>
      <c r="CE39" s="6"/>
    </row>
    <row r="40" spans="1:83" s="618" customFormat="1" ht="15.75">
      <c r="A40" s="608"/>
      <c r="B40" s="608"/>
      <c r="C40" s="608"/>
      <c r="D40" s="608"/>
      <c r="E40" s="608"/>
      <c r="F40" s="608"/>
      <c r="G40" s="609"/>
      <c r="H40" s="431"/>
      <c r="I40" s="619"/>
      <c r="J40" s="432"/>
      <c r="K40" s="432"/>
      <c r="L40" s="432"/>
      <c r="M40" s="432"/>
      <c r="N40" s="619"/>
      <c r="O40" s="620"/>
      <c r="P40" s="621"/>
      <c r="Q40" s="315"/>
      <c r="R40" s="315"/>
      <c r="S40" s="315"/>
      <c r="T40" s="315"/>
      <c r="U40" s="315"/>
      <c r="V40" s="315"/>
      <c r="W40" s="622"/>
      <c r="X40" s="622"/>
      <c r="Y40" s="623"/>
      <c r="Z40" s="624"/>
      <c r="AA40" s="623"/>
      <c r="AB40" s="450" t="s">
        <v>236</v>
      </c>
      <c r="AC40" s="444"/>
      <c r="AD40" s="444"/>
      <c r="AE40" s="444"/>
      <c r="AF40" s="444"/>
      <c r="AG40" s="444"/>
      <c r="AH40" s="444"/>
      <c r="AI40" s="444"/>
      <c r="AJ40" s="444"/>
      <c r="AK40" s="444"/>
      <c r="AL40" s="444"/>
      <c r="AM40" s="444"/>
      <c r="AN40" s="444"/>
      <c r="AO40" s="444"/>
      <c r="AP40" s="444"/>
      <c r="AQ40" s="444">
        <f aca="true" t="shared" si="10" ref="AQ40:AQ45">+AC40+AE40+AG40+AI40+AK40+AM40+AO40</f>
        <v>0</v>
      </c>
      <c r="AR40" s="445">
        <f t="shared" si="9"/>
        <v>0</v>
      </c>
      <c r="AS40" s="616">
        <f t="shared" si="1"/>
        <v>0</v>
      </c>
      <c r="AT40" s="616">
        <f t="shared" si="1"/>
        <v>0</v>
      </c>
      <c r="AU40" s="616">
        <f t="shared" si="2"/>
        <v>0</v>
      </c>
      <c r="AV40" s="6"/>
      <c r="AW40" s="616">
        <f>+'[7]Metas'!S40:S55-S40</f>
        <v>0</v>
      </c>
      <c r="AX40" s="616">
        <f>+'[7]Metas'!T40:T55-T40</f>
        <v>0</v>
      </c>
      <c r="AY40" s="616">
        <f>+'[7]Metas'!U40:U55-U40</f>
        <v>0</v>
      </c>
      <c r="AZ40" s="616">
        <f>+'[7]Metas'!V40:V55-V40</f>
        <v>0</v>
      </c>
      <c r="BA40" s="6"/>
      <c r="BB40" s="6"/>
      <c r="BC40" s="6"/>
      <c r="BD40" s="6"/>
      <c r="BE40" s="446"/>
      <c r="BF40" s="446"/>
      <c r="BG40" s="446"/>
      <c r="BH40" s="446"/>
      <c r="BI40" s="446"/>
      <c r="BJ40" s="446"/>
      <c r="BN40" s="6"/>
      <c r="BO40" s="6"/>
      <c r="BP40" s="6"/>
      <c r="BQ40" s="6"/>
      <c r="BR40" s="6"/>
      <c r="BS40" s="6"/>
      <c r="BT40" s="6"/>
      <c r="BU40" s="6"/>
      <c r="BV40" s="6"/>
      <c r="BW40" s="6"/>
      <c r="BX40" s="6"/>
      <c r="BY40" s="6"/>
      <c r="BZ40" s="6"/>
      <c r="CA40" s="6"/>
      <c r="CB40" s="6"/>
      <c r="CC40" s="6"/>
      <c r="CD40" s="6"/>
      <c r="CE40" s="6"/>
    </row>
    <row r="41" spans="1:83" s="618" customFormat="1" ht="15.75">
      <c r="A41" s="608"/>
      <c r="B41" s="608"/>
      <c r="C41" s="608"/>
      <c r="D41" s="608"/>
      <c r="E41" s="608"/>
      <c r="F41" s="608"/>
      <c r="G41" s="609"/>
      <c r="H41" s="431"/>
      <c r="I41" s="619"/>
      <c r="J41" s="432"/>
      <c r="K41" s="432"/>
      <c r="L41" s="432"/>
      <c r="M41" s="432"/>
      <c r="N41" s="619"/>
      <c r="O41" s="620"/>
      <c r="P41" s="621"/>
      <c r="Q41" s="315"/>
      <c r="R41" s="315"/>
      <c r="S41" s="315"/>
      <c r="T41" s="315"/>
      <c r="U41" s="315"/>
      <c r="V41" s="315"/>
      <c r="W41" s="622"/>
      <c r="X41" s="622"/>
      <c r="Y41" s="623"/>
      <c r="Z41" s="624"/>
      <c r="AA41" s="623"/>
      <c r="AB41" s="442" t="s">
        <v>237</v>
      </c>
      <c r="AC41" s="444"/>
      <c r="AD41" s="444"/>
      <c r="AE41" s="444"/>
      <c r="AF41" s="444"/>
      <c r="AG41" s="444"/>
      <c r="AH41" s="444"/>
      <c r="AI41" s="444"/>
      <c r="AJ41" s="444"/>
      <c r="AK41" s="444"/>
      <c r="AL41" s="444"/>
      <c r="AM41" s="444"/>
      <c r="AN41" s="444"/>
      <c r="AO41" s="444"/>
      <c r="AP41" s="444"/>
      <c r="AQ41" s="444">
        <f t="shared" si="10"/>
        <v>0</v>
      </c>
      <c r="AR41" s="445">
        <f t="shared" si="9"/>
        <v>0</v>
      </c>
      <c r="AS41" s="616">
        <f t="shared" si="1"/>
        <v>0</v>
      </c>
      <c r="AT41" s="616">
        <f t="shared" si="1"/>
        <v>0</v>
      </c>
      <c r="AU41" s="616">
        <f t="shared" si="2"/>
        <v>0</v>
      </c>
      <c r="AV41" s="6"/>
      <c r="AW41" s="616">
        <f>+'[7]Metas'!S41:S56-S41</f>
        <v>0</v>
      </c>
      <c r="AX41" s="616">
        <f>+'[7]Metas'!T41:T56-T41</f>
        <v>0</v>
      </c>
      <c r="AY41" s="616">
        <f>+'[7]Metas'!U41:U56-U41</f>
        <v>0</v>
      </c>
      <c r="AZ41" s="616">
        <f>+'[7]Metas'!V41:V56-V41</f>
        <v>0</v>
      </c>
      <c r="BA41" s="6"/>
      <c r="BB41" s="6"/>
      <c r="BC41" s="6"/>
      <c r="BD41" s="6"/>
      <c r="BE41" s="446"/>
      <c r="BF41" s="446"/>
      <c r="BG41" s="446"/>
      <c r="BH41" s="446"/>
      <c r="BI41" s="446"/>
      <c r="BJ41" s="446"/>
      <c r="BN41" s="6"/>
      <c r="BO41" s="6"/>
      <c r="BP41" s="6"/>
      <c r="BQ41" s="6"/>
      <c r="BR41" s="6"/>
      <c r="BS41" s="6"/>
      <c r="BT41" s="6"/>
      <c r="BU41" s="6"/>
      <c r="BV41" s="6"/>
      <c r="BW41" s="6"/>
      <c r="BX41" s="6"/>
      <c r="BY41" s="6"/>
      <c r="BZ41" s="6"/>
      <c r="CA41" s="6"/>
      <c r="CB41" s="6"/>
      <c r="CC41" s="6"/>
      <c r="CD41" s="6"/>
      <c r="CE41" s="6"/>
    </row>
    <row r="42" spans="1:83" s="618" customFormat="1" ht="15.75">
      <c r="A42" s="608"/>
      <c r="B42" s="608"/>
      <c r="C42" s="608"/>
      <c r="D42" s="608"/>
      <c r="E42" s="608"/>
      <c r="F42" s="608"/>
      <c r="G42" s="609"/>
      <c r="H42" s="431"/>
      <c r="I42" s="619"/>
      <c r="J42" s="432"/>
      <c r="K42" s="432"/>
      <c r="L42" s="432"/>
      <c r="M42" s="432"/>
      <c r="N42" s="619"/>
      <c r="O42" s="620"/>
      <c r="P42" s="621"/>
      <c r="Q42" s="315"/>
      <c r="R42" s="315"/>
      <c r="S42" s="315"/>
      <c r="T42" s="315"/>
      <c r="U42" s="315"/>
      <c r="V42" s="315"/>
      <c r="W42" s="622"/>
      <c r="X42" s="622"/>
      <c r="Y42" s="623"/>
      <c r="Z42" s="624"/>
      <c r="AA42" s="623"/>
      <c r="AB42" s="442" t="s">
        <v>238</v>
      </c>
      <c r="AC42" s="444"/>
      <c r="AD42" s="444"/>
      <c r="AE42" s="444"/>
      <c r="AF42" s="444"/>
      <c r="AG42" s="444"/>
      <c r="AH42" s="444"/>
      <c r="AI42" s="444"/>
      <c r="AJ42" s="444"/>
      <c r="AK42" s="444"/>
      <c r="AL42" s="444"/>
      <c r="AM42" s="444"/>
      <c r="AN42" s="444"/>
      <c r="AO42" s="444"/>
      <c r="AP42" s="444"/>
      <c r="AQ42" s="444">
        <f t="shared" si="10"/>
        <v>0</v>
      </c>
      <c r="AR42" s="445">
        <f t="shared" si="9"/>
        <v>0</v>
      </c>
      <c r="AS42" s="616">
        <f t="shared" si="1"/>
        <v>0</v>
      </c>
      <c r="AT42" s="616">
        <f t="shared" si="1"/>
        <v>0</v>
      </c>
      <c r="AU42" s="616">
        <f t="shared" si="2"/>
        <v>0</v>
      </c>
      <c r="AV42" s="6"/>
      <c r="AW42" s="616">
        <f>+'[7]Metas'!S42:S57-S42</f>
        <v>0</v>
      </c>
      <c r="AX42" s="616">
        <f>+'[7]Metas'!T42:T57-T42</f>
        <v>0</v>
      </c>
      <c r="AY42" s="616">
        <f>+'[7]Metas'!U42:U57-U42</f>
        <v>0</v>
      </c>
      <c r="AZ42" s="616">
        <f>+'[7]Metas'!V42:V57-V42</f>
        <v>0</v>
      </c>
      <c r="BA42" s="6"/>
      <c r="BB42" s="6"/>
      <c r="BC42" s="6"/>
      <c r="BD42" s="6"/>
      <c r="BE42" s="446"/>
      <c r="BF42" s="446"/>
      <c r="BG42" s="446"/>
      <c r="BH42" s="446"/>
      <c r="BI42" s="446"/>
      <c r="BJ42" s="446"/>
      <c r="BN42" s="6"/>
      <c r="BO42" s="6"/>
      <c r="BP42" s="6"/>
      <c r="BQ42" s="6"/>
      <c r="BR42" s="6"/>
      <c r="BS42" s="6"/>
      <c r="BT42" s="6"/>
      <c r="BU42" s="6"/>
      <c r="BV42" s="6"/>
      <c r="BW42" s="6"/>
      <c r="BX42" s="6"/>
      <c r="BY42" s="6"/>
      <c r="BZ42" s="6"/>
      <c r="CA42" s="6"/>
      <c r="CB42" s="6"/>
      <c r="CC42" s="6"/>
      <c r="CD42" s="6"/>
      <c r="CE42" s="6"/>
    </row>
    <row r="43" spans="1:83" s="618" customFormat="1" ht="15.75">
      <c r="A43" s="608"/>
      <c r="B43" s="608"/>
      <c r="C43" s="608"/>
      <c r="D43" s="608"/>
      <c r="E43" s="608"/>
      <c r="F43" s="608"/>
      <c r="G43" s="609"/>
      <c r="H43" s="431"/>
      <c r="I43" s="619"/>
      <c r="J43" s="432"/>
      <c r="K43" s="432"/>
      <c r="L43" s="432"/>
      <c r="M43" s="432"/>
      <c r="N43" s="619"/>
      <c r="O43" s="620"/>
      <c r="P43" s="621"/>
      <c r="Q43" s="315"/>
      <c r="R43" s="315"/>
      <c r="S43" s="315"/>
      <c r="T43" s="315"/>
      <c r="U43" s="315"/>
      <c r="V43" s="315"/>
      <c r="W43" s="622"/>
      <c r="X43" s="622"/>
      <c r="Y43" s="623"/>
      <c r="Z43" s="624"/>
      <c r="AA43" s="623"/>
      <c r="AB43" s="442" t="s">
        <v>239</v>
      </c>
      <c r="AC43" s="444"/>
      <c r="AD43" s="444"/>
      <c r="AE43" s="444"/>
      <c r="AF43" s="444"/>
      <c r="AG43" s="444"/>
      <c r="AH43" s="444"/>
      <c r="AI43" s="444"/>
      <c r="AJ43" s="444"/>
      <c r="AK43" s="444"/>
      <c r="AL43" s="444"/>
      <c r="AM43" s="444"/>
      <c r="AN43" s="444"/>
      <c r="AO43" s="444"/>
      <c r="AP43" s="444"/>
      <c r="AQ43" s="444">
        <f t="shared" si="10"/>
        <v>0</v>
      </c>
      <c r="AR43" s="445">
        <f t="shared" si="9"/>
        <v>0</v>
      </c>
      <c r="AS43" s="616">
        <f t="shared" si="1"/>
        <v>0</v>
      </c>
      <c r="AT43" s="616">
        <f t="shared" si="1"/>
        <v>0</v>
      </c>
      <c r="AU43" s="616">
        <f t="shared" si="2"/>
        <v>0</v>
      </c>
      <c r="AV43" s="6"/>
      <c r="AW43" s="616">
        <f>+'[7]Metas'!S43:S58-S43</f>
        <v>0</v>
      </c>
      <c r="AX43" s="616">
        <f>+'[7]Metas'!T43:T58-T43</f>
        <v>0</v>
      </c>
      <c r="AY43" s="616">
        <f>+'[7]Metas'!U43:U58-U43</f>
        <v>0</v>
      </c>
      <c r="AZ43" s="616">
        <f>+'[7]Metas'!V43:V58-V43</f>
        <v>0</v>
      </c>
      <c r="BA43" s="6"/>
      <c r="BB43" s="6"/>
      <c r="BC43" s="6"/>
      <c r="BD43" s="6"/>
      <c r="BE43" s="446"/>
      <c r="BF43" s="446"/>
      <c r="BG43" s="446"/>
      <c r="BH43" s="446"/>
      <c r="BI43" s="446"/>
      <c r="BJ43" s="446"/>
      <c r="BN43" s="6"/>
      <c r="BO43" s="6"/>
      <c r="BP43" s="6"/>
      <c r="BQ43" s="6"/>
      <c r="BR43" s="6"/>
      <c r="BS43" s="6"/>
      <c r="BT43" s="6"/>
      <c r="BU43" s="6"/>
      <c r="BV43" s="6"/>
      <c r="BW43" s="6"/>
      <c r="BX43" s="6"/>
      <c r="BY43" s="6"/>
      <c r="BZ43" s="6"/>
      <c r="CA43" s="6"/>
      <c r="CB43" s="6"/>
      <c r="CC43" s="6"/>
      <c r="CD43" s="6"/>
      <c r="CE43" s="6"/>
    </row>
    <row r="44" spans="1:83" s="618" customFormat="1" ht="15.75">
      <c r="A44" s="608"/>
      <c r="B44" s="608"/>
      <c r="C44" s="608"/>
      <c r="D44" s="608"/>
      <c r="E44" s="608"/>
      <c r="F44" s="608"/>
      <c r="G44" s="609"/>
      <c r="H44" s="431"/>
      <c r="I44" s="619"/>
      <c r="J44" s="432"/>
      <c r="K44" s="432"/>
      <c r="L44" s="432"/>
      <c r="M44" s="432"/>
      <c r="N44" s="619"/>
      <c r="O44" s="620"/>
      <c r="P44" s="621"/>
      <c r="Q44" s="315"/>
      <c r="R44" s="315"/>
      <c r="S44" s="315"/>
      <c r="T44" s="315"/>
      <c r="U44" s="315"/>
      <c r="V44" s="315"/>
      <c r="W44" s="622"/>
      <c r="X44" s="622"/>
      <c r="Y44" s="623"/>
      <c r="Z44" s="624"/>
      <c r="AA44" s="623"/>
      <c r="AB44" s="442" t="s">
        <v>240</v>
      </c>
      <c r="AC44" s="444"/>
      <c r="AD44" s="444"/>
      <c r="AE44" s="444"/>
      <c r="AF44" s="444"/>
      <c r="AG44" s="444"/>
      <c r="AH44" s="444"/>
      <c r="AI44" s="444"/>
      <c r="AJ44" s="444"/>
      <c r="AK44" s="444"/>
      <c r="AL44" s="444"/>
      <c r="AM44" s="444"/>
      <c r="AN44" s="444"/>
      <c r="AO44" s="444"/>
      <c r="AP44" s="444"/>
      <c r="AQ44" s="444">
        <f t="shared" si="10"/>
        <v>0</v>
      </c>
      <c r="AR44" s="445">
        <f t="shared" si="9"/>
        <v>0</v>
      </c>
      <c r="AS44" s="616">
        <f t="shared" si="1"/>
        <v>0</v>
      </c>
      <c r="AT44" s="616">
        <f t="shared" si="1"/>
        <v>0</v>
      </c>
      <c r="AU44" s="616">
        <f t="shared" si="2"/>
        <v>0</v>
      </c>
      <c r="AV44" s="6"/>
      <c r="AW44" s="616">
        <f>+'[7]Metas'!S44:S59-S44</f>
        <v>0</v>
      </c>
      <c r="AX44" s="616">
        <f>+'[7]Metas'!T44:T59-T44</f>
        <v>0</v>
      </c>
      <c r="AY44" s="616">
        <f>+'[7]Metas'!U44:U59-U44</f>
        <v>0</v>
      </c>
      <c r="AZ44" s="616">
        <f>+'[7]Metas'!V44:V59-V44</f>
        <v>0</v>
      </c>
      <c r="BA44" s="6"/>
      <c r="BB44" s="6"/>
      <c r="BC44" s="6"/>
      <c r="BD44" s="6"/>
      <c r="BE44" s="446"/>
      <c r="BF44" s="446"/>
      <c r="BG44" s="446"/>
      <c r="BH44" s="446"/>
      <c r="BI44" s="446"/>
      <c r="BJ44" s="446"/>
      <c r="BN44" s="6"/>
      <c r="BO44" s="6"/>
      <c r="BP44" s="6"/>
      <c r="BQ44" s="6"/>
      <c r="BR44" s="6"/>
      <c r="BS44" s="6"/>
      <c r="BT44" s="6"/>
      <c r="BU44" s="6"/>
      <c r="BV44" s="6"/>
      <c r="BW44" s="6"/>
      <c r="BX44" s="6"/>
      <c r="BY44" s="6"/>
      <c r="BZ44" s="6"/>
      <c r="CA44" s="6"/>
      <c r="CB44" s="6"/>
      <c r="CC44" s="6"/>
      <c r="CD44" s="6"/>
      <c r="CE44" s="6"/>
    </row>
    <row r="45" spans="1:83" s="618" customFormat="1" ht="15.75">
      <c r="A45" s="608"/>
      <c r="B45" s="608"/>
      <c r="C45" s="608"/>
      <c r="D45" s="608"/>
      <c r="E45" s="608"/>
      <c r="F45" s="608"/>
      <c r="G45" s="609"/>
      <c r="H45" s="431"/>
      <c r="I45" s="619"/>
      <c r="J45" s="432"/>
      <c r="K45" s="432"/>
      <c r="L45" s="432"/>
      <c r="M45" s="432"/>
      <c r="N45" s="619"/>
      <c r="O45" s="620"/>
      <c r="P45" s="621"/>
      <c r="Q45" s="315"/>
      <c r="R45" s="315"/>
      <c r="S45" s="315"/>
      <c r="T45" s="315"/>
      <c r="U45" s="315"/>
      <c r="V45" s="315"/>
      <c r="W45" s="622"/>
      <c r="X45" s="622"/>
      <c r="Y45" s="623"/>
      <c r="Z45" s="624"/>
      <c r="AA45" s="623"/>
      <c r="AB45" s="442" t="s">
        <v>241</v>
      </c>
      <c r="AC45" s="444"/>
      <c r="AD45" s="444"/>
      <c r="AE45" s="444"/>
      <c r="AF45" s="444"/>
      <c r="AG45" s="444"/>
      <c r="AH45" s="444"/>
      <c r="AI45" s="444"/>
      <c r="AJ45" s="444"/>
      <c r="AK45" s="444"/>
      <c r="AL45" s="444"/>
      <c r="AM45" s="444"/>
      <c r="AN45" s="444"/>
      <c r="AO45" s="444"/>
      <c r="AP45" s="444"/>
      <c r="AQ45" s="444">
        <f t="shared" si="10"/>
        <v>0</v>
      </c>
      <c r="AR45" s="445">
        <f t="shared" si="9"/>
        <v>0</v>
      </c>
      <c r="AS45" s="616">
        <f t="shared" si="1"/>
        <v>0</v>
      </c>
      <c r="AT45" s="616">
        <f t="shared" si="1"/>
        <v>0</v>
      </c>
      <c r="AU45" s="616">
        <f t="shared" si="2"/>
        <v>0</v>
      </c>
      <c r="AV45" s="6"/>
      <c r="AW45" s="616">
        <f>+'[7]Metas'!S45:S60-S45</f>
        <v>0</v>
      </c>
      <c r="AX45" s="616">
        <f>+'[7]Metas'!T45:T60-T45</f>
        <v>0</v>
      </c>
      <c r="AY45" s="616">
        <f>+'[7]Metas'!U45:U60-U45</f>
        <v>0</v>
      </c>
      <c r="AZ45" s="616">
        <f>+'[7]Metas'!V45:V60-V45</f>
        <v>0</v>
      </c>
      <c r="BA45" s="6"/>
      <c r="BB45" s="6"/>
      <c r="BC45" s="6"/>
      <c r="BD45" s="6"/>
      <c r="BE45" s="446"/>
      <c r="BF45" s="446"/>
      <c r="BG45" s="446"/>
      <c r="BH45" s="446"/>
      <c r="BI45" s="446"/>
      <c r="BJ45" s="446"/>
      <c r="BN45" s="6"/>
      <c r="BO45" s="6"/>
      <c r="BP45" s="6"/>
      <c r="BQ45" s="6"/>
      <c r="BR45" s="6"/>
      <c r="BS45" s="6"/>
      <c r="BT45" s="6"/>
      <c r="BU45" s="6"/>
      <c r="BV45" s="6"/>
      <c r="BW45" s="6"/>
      <c r="BX45" s="6"/>
      <c r="BY45" s="6"/>
      <c r="BZ45" s="6"/>
      <c r="CA45" s="6"/>
      <c r="CB45" s="6"/>
      <c r="CC45" s="6"/>
      <c r="CD45" s="6"/>
      <c r="CE45" s="6"/>
    </row>
    <row r="46" spans="1:83" s="618" customFormat="1" ht="15.75">
      <c r="A46" s="608"/>
      <c r="B46" s="608"/>
      <c r="C46" s="608"/>
      <c r="D46" s="608"/>
      <c r="E46" s="608"/>
      <c r="F46" s="608"/>
      <c r="G46" s="609"/>
      <c r="H46" s="431"/>
      <c r="I46" s="619"/>
      <c r="J46" s="432"/>
      <c r="K46" s="432"/>
      <c r="L46" s="432"/>
      <c r="M46" s="432"/>
      <c r="N46" s="619"/>
      <c r="O46" s="620"/>
      <c r="P46" s="621"/>
      <c r="Q46" s="315"/>
      <c r="R46" s="315"/>
      <c r="S46" s="315"/>
      <c r="T46" s="315"/>
      <c r="U46" s="315"/>
      <c r="V46" s="315"/>
      <c r="W46" s="622"/>
      <c r="X46" s="622"/>
      <c r="Y46" s="623"/>
      <c r="Z46" s="624"/>
      <c r="AA46" s="623"/>
      <c r="AB46" s="447" t="s">
        <v>242</v>
      </c>
      <c r="AC46" s="448">
        <f aca="true" t="shared" si="11" ref="AC46:AR46">SUM(AC40:AC45)+IF(AC38=0,AC39,AC38)</f>
        <v>0</v>
      </c>
      <c r="AD46" s="448">
        <f t="shared" si="11"/>
        <v>0</v>
      </c>
      <c r="AE46" s="448">
        <f t="shared" si="11"/>
        <v>0</v>
      </c>
      <c r="AF46" s="448">
        <f t="shared" si="11"/>
        <v>0</v>
      </c>
      <c r="AG46" s="448">
        <f t="shared" si="11"/>
        <v>0</v>
      </c>
      <c r="AH46" s="448">
        <f t="shared" si="11"/>
        <v>0</v>
      </c>
      <c r="AI46" s="448">
        <f t="shared" si="11"/>
        <v>0</v>
      </c>
      <c r="AJ46" s="448">
        <f t="shared" si="11"/>
        <v>0</v>
      </c>
      <c r="AK46" s="448">
        <f t="shared" si="11"/>
        <v>0</v>
      </c>
      <c r="AL46" s="448">
        <f t="shared" si="11"/>
        <v>0</v>
      </c>
      <c r="AM46" s="448">
        <f t="shared" si="11"/>
        <v>0</v>
      </c>
      <c r="AN46" s="448">
        <f t="shared" si="11"/>
        <v>0</v>
      </c>
      <c r="AO46" s="448">
        <f t="shared" si="11"/>
        <v>0</v>
      </c>
      <c r="AP46" s="448">
        <f t="shared" si="11"/>
        <v>0</v>
      </c>
      <c r="AQ46" s="448">
        <f t="shared" si="11"/>
        <v>0</v>
      </c>
      <c r="AR46" s="449">
        <f t="shared" si="11"/>
        <v>0</v>
      </c>
      <c r="AS46" s="616">
        <f t="shared" si="1"/>
        <v>0</v>
      </c>
      <c r="AT46" s="616">
        <f t="shared" si="1"/>
        <v>0</v>
      </c>
      <c r="AU46" s="616">
        <f t="shared" si="2"/>
        <v>0</v>
      </c>
      <c r="AV46" s="6"/>
      <c r="AW46" s="616">
        <f>+'[7]Metas'!S46:S61-S46</f>
        <v>0</v>
      </c>
      <c r="AX46" s="616">
        <f>+'[7]Metas'!T46:T61-T46</f>
        <v>0</v>
      </c>
      <c r="AY46" s="616">
        <f>+'[7]Metas'!U46:U61-U46</f>
        <v>0</v>
      </c>
      <c r="AZ46" s="616">
        <f>+'[7]Metas'!V46:V61-V46</f>
        <v>0</v>
      </c>
      <c r="BA46" s="6"/>
      <c r="BB46" s="6"/>
      <c r="BC46" s="6"/>
      <c r="BD46" s="6"/>
      <c r="BE46" s="446"/>
      <c r="BF46" s="446"/>
      <c r="BG46" s="446"/>
      <c r="BH46" s="446"/>
      <c r="BI46" s="446"/>
      <c r="BJ46" s="446"/>
      <c r="BN46" s="6"/>
      <c r="BO46" s="6"/>
      <c r="BP46" s="6"/>
      <c r="BQ46" s="6"/>
      <c r="BR46" s="6"/>
      <c r="BS46" s="6"/>
      <c r="BT46" s="6"/>
      <c r="BU46" s="6"/>
      <c r="BV46" s="6"/>
      <c r="BW46" s="6"/>
      <c r="BX46" s="6"/>
      <c r="BY46" s="6"/>
      <c r="BZ46" s="6"/>
      <c r="CA46" s="6"/>
      <c r="CB46" s="6"/>
      <c r="CC46" s="6"/>
      <c r="CD46" s="6"/>
      <c r="CE46" s="6"/>
    </row>
    <row r="47" spans="1:83" s="618" customFormat="1" ht="16.5" thickBot="1">
      <c r="A47" s="608"/>
      <c r="B47" s="608"/>
      <c r="C47" s="608"/>
      <c r="D47" s="608"/>
      <c r="E47" s="608"/>
      <c r="F47" s="608"/>
      <c r="G47" s="609"/>
      <c r="H47" s="451"/>
      <c r="I47" s="625"/>
      <c r="J47" s="452"/>
      <c r="K47" s="452"/>
      <c r="L47" s="452"/>
      <c r="M47" s="452"/>
      <c r="N47" s="625"/>
      <c r="O47" s="626"/>
      <c r="P47" s="627"/>
      <c r="Q47" s="335"/>
      <c r="R47" s="335"/>
      <c r="S47" s="335"/>
      <c r="T47" s="335"/>
      <c r="U47" s="335"/>
      <c r="V47" s="335"/>
      <c r="W47" s="628"/>
      <c r="X47" s="628"/>
      <c r="Y47" s="629"/>
      <c r="Z47" s="630"/>
      <c r="AA47" s="629"/>
      <c r="AB47" s="457" t="s">
        <v>243</v>
      </c>
      <c r="AC47" s="459"/>
      <c r="AD47" s="459"/>
      <c r="AE47" s="459"/>
      <c r="AF47" s="459"/>
      <c r="AG47" s="459"/>
      <c r="AH47" s="459"/>
      <c r="AI47" s="459"/>
      <c r="AJ47" s="459"/>
      <c r="AK47" s="459"/>
      <c r="AL47" s="459"/>
      <c r="AM47" s="459"/>
      <c r="AN47" s="459"/>
      <c r="AO47" s="459"/>
      <c r="AP47" s="459"/>
      <c r="AQ47" s="459">
        <f aca="true" t="shared" si="12" ref="AQ47:AR53">+AC47+AE47+AG47+AI47+AK47+AM47+AO47</f>
        <v>0</v>
      </c>
      <c r="AR47" s="460">
        <f t="shared" si="12"/>
        <v>0</v>
      </c>
      <c r="AS47" s="616">
        <f t="shared" si="1"/>
        <v>0</v>
      </c>
      <c r="AT47" s="616">
        <f t="shared" si="1"/>
        <v>0</v>
      </c>
      <c r="AU47" s="616">
        <f t="shared" si="2"/>
        <v>0</v>
      </c>
      <c r="AV47" s="6"/>
      <c r="AW47" s="616">
        <f>+'[7]Metas'!S47:S62-S47</f>
        <v>0</v>
      </c>
      <c r="AX47" s="616">
        <f>+'[7]Metas'!T47:T62-T47</f>
        <v>0</v>
      </c>
      <c r="AY47" s="616">
        <f>+'[7]Metas'!U47:U62-U47</f>
        <v>0</v>
      </c>
      <c r="AZ47" s="616">
        <f>+'[7]Metas'!V47:V62-V47</f>
        <v>0</v>
      </c>
      <c r="BA47" s="6"/>
      <c r="BB47" s="6"/>
      <c r="BC47" s="6"/>
      <c r="BD47" s="6"/>
      <c r="BE47" s="446"/>
      <c r="BF47" s="446"/>
      <c r="BG47" s="446"/>
      <c r="BH47" s="446"/>
      <c r="BI47" s="446"/>
      <c r="BJ47" s="446"/>
      <c r="BN47" s="6"/>
      <c r="BO47" s="6"/>
      <c r="BP47" s="6"/>
      <c r="BQ47" s="6"/>
      <c r="BR47" s="6"/>
      <c r="BS47" s="6"/>
      <c r="BT47" s="6"/>
      <c r="BU47" s="6"/>
      <c r="BV47" s="6"/>
      <c r="BW47" s="6"/>
      <c r="BX47" s="6"/>
      <c r="BY47" s="6"/>
      <c r="BZ47" s="6"/>
      <c r="CA47" s="6"/>
      <c r="CB47" s="6"/>
      <c r="CC47" s="6"/>
      <c r="CD47" s="6"/>
      <c r="CE47" s="6"/>
    </row>
    <row r="48" spans="1:83" s="618" customFormat="1" ht="20.25" customHeight="1">
      <c r="A48" s="608" t="s">
        <v>292</v>
      </c>
      <c r="B48" s="608" t="s">
        <v>293</v>
      </c>
      <c r="C48" s="608" t="s">
        <v>218</v>
      </c>
      <c r="D48" s="608" t="s">
        <v>219</v>
      </c>
      <c r="E48" s="608" t="s">
        <v>220</v>
      </c>
      <c r="F48" s="608" t="s">
        <v>153</v>
      </c>
      <c r="G48" s="609">
        <v>7</v>
      </c>
      <c r="H48" s="416">
        <v>879</v>
      </c>
      <c r="I48" s="610" t="s">
        <v>404</v>
      </c>
      <c r="J48" s="418"/>
      <c r="K48" s="418" t="s">
        <v>26</v>
      </c>
      <c r="L48" s="475"/>
      <c r="M48" s="418">
        <v>0</v>
      </c>
      <c r="N48" s="610" t="s">
        <v>405</v>
      </c>
      <c r="O48" s="611">
        <v>0.45</v>
      </c>
      <c r="P48" s="612">
        <v>0.08</v>
      </c>
      <c r="Q48" s="300">
        <f>SUMIF('Actividades inversión 879'!$B$13:$B$17,'Metas inversión 879'!$B48,'Actividades inversión 879'!M$13:M$17)</f>
        <v>0</v>
      </c>
      <c r="R48" s="300">
        <f>SUMIF('Actividades inversión 879'!$B$13:$B$17,'Metas inversión 879'!$B48,'Actividades inversión 879'!N$13:N$17)</f>
        <v>0</v>
      </c>
      <c r="S48" s="300">
        <f>SUMIF('Actividades inversión 879'!$B$13:$B$17,'Metas inversión 879'!$B48,'Actividades inversión 879'!O$13:O$17)</f>
        <v>0</v>
      </c>
      <c r="T48" s="300">
        <f>SUMIF('Actividades inversión 879'!$B$13:$B$17,'Metas inversión 879'!$B48,'Actividades inversión 879'!P$13:P$17)</f>
        <v>0</v>
      </c>
      <c r="U48" s="300">
        <f>SUMIF('Actividades inversión 879'!$B$13:$B$17,'Metas inversión 879'!$B48,'Actividades inversión 879'!Q$13:Q$17)</f>
        <v>0</v>
      </c>
      <c r="V48" s="300">
        <f>SUMIF('Actividades inversión 879'!$B$13:$B$17,'Metas inversión 879'!$B48,'Actividades inversión 879'!R$13:R$17)</f>
        <v>0</v>
      </c>
      <c r="W48" s="613" t="s">
        <v>398</v>
      </c>
      <c r="X48" s="613" t="s">
        <v>399</v>
      </c>
      <c r="Y48" s="614" t="s">
        <v>400</v>
      </c>
      <c r="Z48" s="615" t="s">
        <v>401</v>
      </c>
      <c r="AA48" s="614" t="s">
        <v>402</v>
      </c>
      <c r="AB48" s="465" t="s">
        <v>228</v>
      </c>
      <c r="AC48" s="467"/>
      <c r="AD48" s="467"/>
      <c r="AE48" s="467"/>
      <c r="AF48" s="467"/>
      <c r="AG48" s="467"/>
      <c r="AH48" s="467"/>
      <c r="AI48" s="467"/>
      <c r="AJ48" s="467"/>
      <c r="AK48" s="467"/>
      <c r="AL48" s="467"/>
      <c r="AM48" s="467"/>
      <c r="AN48" s="467"/>
      <c r="AO48" s="467"/>
      <c r="AP48" s="467"/>
      <c r="AQ48" s="467">
        <f t="shared" si="12"/>
        <v>0</v>
      </c>
      <c r="AR48" s="468">
        <f t="shared" si="12"/>
        <v>0</v>
      </c>
      <c r="AS48" s="616">
        <f t="shared" si="1"/>
        <v>0</v>
      </c>
      <c r="AT48" s="616">
        <f t="shared" si="1"/>
        <v>0</v>
      </c>
      <c r="AU48" s="616">
        <f t="shared" si="2"/>
        <v>0</v>
      </c>
      <c r="AV48" s="6"/>
      <c r="AW48" s="616">
        <f>+'[7]Metas'!S48:S63-S48</f>
        <v>0</v>
      </c>
      <c r="AX48" s="616">
        <f>+'[7]Metas'!T48:T63-T48</f>
        <v>0</v>
      </c>
      <c r="AY48" s="616">
        <f>+'[7]Metas'!U48:U63-U48</f>
        <v>0</v>
      </c>
      <c r="AZ48" s="616">
        <f>+'[7]Metas'!V48:V63-V48</f>
        <v>0</v>
      </c>
      <c r="BA48" s="6"/>
      <c r="BB48" s="6"/>
      <c r="BC48" s="6"/>
      <c r="BD48" s="6"/>
      <c r="BE48" s="617">
        <f>SUM('[6]99-METROPOLITANO'!N46)</f>
        <v>0</v>
      </c>
      <c r="BF48" s="617">
        <f>SUM('[6]99-METROPOLITANO'!O46)</f>
        <v>0</v>
      </c>
      <c r="BG48" s="617">
        <f>SUM('[6]99-METROPOLITANO'!P46)</f>
        <v>0</v>
      </c>
      <c r="BH48" s="617">
        <f>SUM('[6]99-METROPOLITANO'!Q46)</f>
        <v>0</v>
      </c>
      <c r="BI48" s="617">
        <f>SUM('[6]99-METROPOLITANO'!R46)</f>
        <v>0</v>
      </c>
      <c r="BJ48" s="617">
        <f>SUM('[6]99-METROPOLITANO'!S46)</f>
        <v>0</v>
      </c>
      <c r="BN48" s="6"/>
      <c r="BO48" s="6"/>
      <c r="BP48" s="6"/>
      <c r="BQ48" s="6"/>
      <c r="BR48" s="6"/>
      <c r="BS48" s="6"/>
      <c r="BT48" s="6"/>
      <c r="BU48" s="6"/>
      <c r="BV48" s="6"/>
      <c r="BW48" s="6"/>
      <c r="BX48" s="6"/>
      <c r="BY48" s="6"/>
      <c r="BZ48" s="6"/>
      <c r="CA48" s="6"/>
      <c r="CB48" s="6"/>
      <c r="CC48" s="6"/>
      <c r="CD48" s="6"/>
      <c r="CE48" s="6"/>
    </row>
    <row r="49" spans="1:83" s="618" customFormat="1" ht="15.75">
      <c r="A49" s="608"/>
      <c r="B49" s="608"/>
      <c r="C49" s="608"/>
      <c r="D49" s="608"/>
      <c r="E49" s="608"/>
      <c r="F49" s="608"/>
      <c r="G49" s="609"/>
      <c r="H49" s="431"/>
      <c r="I49" s="619"/>
      <c r="J49" s="432"/>
      <c r="K49" s="432"/>
      <c r="L49" s="476"/>
      <c r="M49" s="432"/>
      <c r="N49" s="619"/>
      <c r="O49" s="620"/>
      <c r="P49" s="621"/>
      <c r="Q49" s="315"/>
      <c r="R49" s="315"/>
      <c r="S49" s="315"/>
      <c r="T49" s="315"/>
      <c r="U49" s="315"/>
      <c r="V49" s="315"/>
      <c r="W49" s="622"/>
      <c r="X49" s="622"/>
      <c r="Y49" s="623"/>
      <c r="Z49" s="624"/>
      <c r="AA49" s="623"/>
      <c r="AB49" s="450" t="s">
        <v>229</v>
      </c>
      <c r="AC49" s="444"/>
      <c r="AD49" s="444"/>
      <c r="AE49" s="444"/>
      <c r="AF49" s="444"/>
      <c r="AG49" s="444"/>
      <c r="AH49" s="444"/>
      <c r="AI49" s="444"/>
      <c r="AJ49" s="444"/>
      <c r="AK49" s="444"/>
      <c r="AL49" s="444"/>
      <c r="AM49" s="444"/>
      <c r="AN49" s="444"/>
      <c r="AO49" s="444"/>
      <c r="AP49" s="444"/>
      <c r="AQ49" s="444">
        <f t="shared" si="12"/>
        <v>0</v>
      </c>
      <c r="AR49" s="445">
        <f t="shared" si="12"/>
        <v>0</v>
      </c>
      <c r="AS49" s="616">
        <f t="shared" si="1"/>
        <v>0</v>
      </c>
      <c r="AT49" s="616">
        <f t="shared" si="1"/>
        <v>0</v>
      </c>
      <c r="AU49" s="616">
        <f t="shared" si="2"/>
        <v>0</v>
      </c>
      <c r="AV49" s="6"/>
      <c r="AW49" s="616">
        <f>+'[7]Metas'!S49:S64-S49</f>
        <v>0</v>
      </c>
      <c r="AX49" s="616">
        <f>+'[7]Metas'!T49:T64-T49</f>
        <v>0</v>
      </c>
      <c r="AY49" s="616">
        <f>+'[7]Metas'!U49:U64-U49</f>
        <v>0</v>
      </c>
      <c r="AZ49" s="616">
        <f>+'[7]Metas'!V49:V64-V49</f>
        <v>0</v>
      </c>
      <c r="BA49" s="6"/>
      <c r="BB49" s="6"/>
      <c r="BC49" s="6"/>
      <c r="BD49" s="6"/>
      <c r="BE49" s="446"/>
      <c r="BF49" s="446"/>
      <c r="BG49" s="446"/>
      <c r="BH49" s="446"/>
      <c r="BI49" s="446"/>
      <c r="BJ49" s="446"/>
      <c r="BN49" s="6"/>
      <c r="BO49" s="6"/>
      <c r="BP49" s="6"/>
      <c r="BQ49" s="6"/>
      <c r="BR49" s="6"/>
      <c r="BS49" s="6"/>
      <c r="BT49" s="6"/>
      <c r="BU49" s="6"/>
      <c r="BV49" s="6"/>
      <c r="BW49" s="6"/>
      <c r="BX49" s="6"/>
      <c r="BY49" s="6"/>
      <c r="BZ49" s="6"/>
      <c r="CA49" s="6"/>
      <c r="CB49" s="6"/>
      <c r="CC49" s="6"/>
      <c r="CD49" s="6"/>
      <c r="CE49" s="6"/>
    </row>
    <row r="50" spans="1:83" s="618" customFormat="1" ht="15.75">
      <c r="A50" s="608"/>
      <c r="B50" s="608"/>
      <c r="C50" s="608"/>
      <c r="D50" s="608"/>
      <c r="E50" s="608"/>
      <c r="F50" s="608"/>
      <c r="G50" s="609"/>
      <c r="H50" s="431"/>
      <c r="I50" s="619"/>
      <c r="J50" s="432"/>
      <c r="K50" s="432"/>
      <c r="L50" s="476"/>
      <c r="M50" s="432"/>
      <c r="N50" s="619"/>
      <c r="O50" s="620"/>
      <c r="P50" s="621"/>
      <c r="Q50" s="315"/>
      <c r="R50" s="315"/>
      <c r="S50" s="315"/>
      <c r="T50" s="315"/>
      <c r="U50" s="315"/>
      <c r="V50" s="315"/>
      <c r="W50" s="622"/>
      <c r="X50" s="622"/>
      <c r="Y50" s="623"/>
      <c r="Z50" s="624"/>
      <c r="AA50" s="623"/>
      <c r="AB50" s="450" t="s">
        <v>230</v>
      </c>
      <c r="AC50" s="444"/>
      <c r="AD50" s="444"/>
      <c r="AE50" s="444"/>
      <c r="AF50" s="444"/>
      <c r="AG50" s="444"/>
      <c r="AH50" s="444"/>
      <c r="AI50" s="444"/>
      <c r="AJ50" s="444"/>
      <c r="AK50" s="444"/>
      <c r="AL50" s="444"/>
      <c r="AM50" s="444"/>
      <c r="AN50" s="444"/>
      <c r="AO50" s="444"/>
      <c r="AP50" s="444"/>
      <c r="AQ50" s="444">
        <f t="shared" si="12"/>
        <v>0</v>
      </c>
      <c r="AR50" s="445">
        <f t="shared" si="12"/>
        <v>0</v>
      </c>
      <c r="AS50" s="616">
        <f t="shared" si="1"/>
        <v>0</v>
      </c>
      <c r="AT50" s="616">
        <f t="shared" si="1"/>
        <v>0</v>
      </c>
      <c r="AU50" s="616">
        <f t="shared" si="2"/>
        <v>0</v>
      </c>
      <c r="AV50" s="6"/>
      <c r="AW50" s="616">
        <f>+'[7]Metas'!S50:S65-S50</f>
        <v>0</v>
      </c>
      <c r="AX50" s="616">
        <f>+'[7]Metas'!T50:T65-T50</f>
        <v>0</v>
      </c>
      <c r="AY50" s="616">
        <f>+'[7]Metas'!U50:U65-U50</f>
        <v>0</v>
      </c>
      <c r="AZ50" s="616">
        <f>+'[7]Metas'!V50:V65-V50</f>
        <v>0</v>
      </c>
      <c r="BA50" s="6"/>
      <c r="BB50" s="6"/>
      <c r="BC50" s="6"/>
      <c r="BD50" s="6"/>
      <c r="BE50" s="446"/>
      <c r="BF50" s="446"/>
      <c r="BG50" s="446"/>
      <c r="BH50" s="446"/>
      <c r="BI50" s="446"/>
      <c r="BJ50" s="446"/>
      <c r="BN50" s="6"/>
      <c r="BO50" s="6"/>
      <c r="BP50" s="6"/>
      <c r="BQ50" s="6"/>
      <c r="BR50" s="6"/>
      <c r="BS50" s="6"/>
      <c r="BT50" s="6"/>
      <c r="BU50" s="6"/>
      <c r="BV50" s="6"/>
      <c r="BW50" s="6"/>
      <c r="BX50" s="6"/>
      <c r="BY50" s="6"/>
      <c r="BZ50" s="6"/>
      <c r="CA50" s="6"/>
      <c r="CB50" s="6"/>
      <c r="CC50" s="6"/>
      <c r="CD50" s="6"/>
      <c r="CE50" s="6"/>
    </row>
    <row r="51" spans="1:83" s="618" customFormat="1" ht="15.75">
      <c r="A51" s="608"/>
      <c r="B51" s="608"/>
      <c r="C51" s="608"/>
      <c r="D51" s="608"/>
      <c r="E51" s="608"/>
      <c r="F51" s="608"/>
      <c r="G51" s="609"/>
      <c r="H51" s="431"/>
      <c r="I51" s="619"/>
      <c r="J51" s="432"/>
      <c r="K51" s="432"/>
      <c r="L51" s="476"/>
      <c r="M51" s="432"/>
      <c r="N51" s="619"/>
      <c r="O51" s="620"/>
      <c r="P51" s="621"/>
      <c r="Q51" s="315"/>
      <c r="R51" s="315"/>
      <c r="S51" s="315"/>
      <c r="T51" s="315"/>
      <c r="U51" s="315"/>
      <c r="V51" s="315"/>
      <c r="W51" s="622"/>
      <c r="X51" s="622"/>
      <c r="Y51" s="623"/>
      <c r="Z51" s="624"/>
      <c r="AA51" s="623"/>
      <c r="AB51" s="450" t="s">
        <v>231</v>
      </c>
      <c r="AC51" s="444"/>
      <c r="AD51" s="444"/>
      <c r="AE51" s="444"/>
      <c r="AF51" s="444"/>
      <c r="AG51" s="444"/>
      <c r="AH51" s="444"/>
      <c r="AI51" s="444"/>
      <c r="AJ51" s="444"/>
      <c r="AK51" s="444"/>
      <c r="AL51" s="444"/>
      <c r="AM51" s="444"/>
      <c r="AN51" s="444"/>
      <c r="AO51" s="444"/>
      <c r="AP51" s="444"/>
      <c r="AQ51" s="444">
        <f t="shared" si="12"/>
        <v>0</v>
      </c>
      <c r="AR51" s="445">
        <f t="shared" si="12"/>
        <v>0</v>
      </c>
      <c r="AS51" s="616">
        <f t="shared" si="1"/>
        <v>0</v>
      </c>
      <c r="AT51" s="616">
        <f t="shared" si="1"/>
        <v>0</v>
      </c>
      <c r="AU51" s="616">
        <f t="shared" si="2"/>
        <v>0</v>
      </c>
      <c r="AV51" s="6"/>
      <c r="AW51" s="616">
        <f>+'[7]Metas'!S51:S66-S51</f>
        <v>0</v>
      </c>
      <c r="AX51" s="616">
        <f>+'[7]Metas'!T51:T66-T51</f>
        <v>0</v>
      </c>
      <c r="AY51" s="616">
        <f>+'[7]Metas'!U51:U66-U51</f>
        <v>0</v>
      </c>
      <c r="AZ51" s="616">
        <f>+'[7]Metas'!V51:V66-V51</f>
        <v>0</v>
      </c>
      <c r="BA51" s="6"/>
      <c r="BB51" s="6"/>
      <c r="BC51" s="6"/>
      <c r="BD51" s="6"/>
      <c r="BE51" s="446"/>
      <c r="BF51" s="446"/>
      <c r="BG51" s="446"/>
      <c r="BH51" s="446"/>
      <c r="BI51" s="446"/>
      <c r="BJ51" s="446"/>
      <c r="BN51" s="6"/>
      <c r="BO51" s="6"/>
      <c r="BP51" s="6"/>
      <c r="BQ51" s="6"/>
      <c r="BR51" s="6"/>
      <c r="BS51" s="6"/>
      <c r="BT51" s="6"/>
      <c r="BU51" s="6"/>
      <c r="BV51" s="6"/>
      <c r="BW51" s="6"/>
      <c r="BX51" s="6"/>
      <c r="BY51" s="6"/>
      <c r="BZ51" s="6"/>
      <c r="CA51" s="6"/>
      <c r="CB51" s="6"/>
      <c r="CC51" s="6"/>
      <c r="CD51" s="6"/>
      <c r="CE51" s="6"/>
    </row>
    <row r="52" spans="1:83" s="618" customFormat="1" ht="15.75">
      <c r="A52" s="608"/>
      <c r="B52" s="608"/>
      <c r="C52" s="608"/>
      <c r="D52" s="608"/>
      <c r="E52" s="608"/>
      <c r="F52" s="608"/>
      <c r="G52" s="609"/>
      <c r="H52" s="431"/>
      <c r="I52" s="619"/>
      <c r="J52" s="432"/>
      <c r="K52" s="432"/>
      <c r="L52" s="476"/>
      <c r="M52" s="432"/>
      <c r="N52" s="619"/>
      <c r="O52" s="620"/>
      <c r="P52" s="621"/>
      <c r="Q52" s="315"/>
      <c r="R52" s="315"/>
      <c r="S52" s="315"/>
      <c r="T52" s="315"/>
      <c r="U52" s="315"/>
      <c r="V52" s="315"/>
      <c r="W52" s="622"/>
      <c r="X52" s="622"/>
      <c r="Y52" s="623"/>
      <c r="Z52" s="624"/>
      <c r="AA52" s="623"/>
      <c r="AB52" s="450" t="s">
        <v>232</v>
      </c>
      <c r="AC52" s="444"/>
      <c r="AD52" s="444"/>
      <c r="AE52" s="444"/>
      <c r="AF52" s="444"/>
      <c r="AG52" s="444"/>
      <c r="AH52" s="444"/>
      <c r="AI52" s="444"/>
      <c r="AJ52" s="444"/>
      <c r="AK52" s="444"/>
      <c r="AL52" s="444"/>
      <c r="AM52" s="444"/>
      <c r="AN52" s="444"/>
      <c r="AO52" s="444"/>
      <c r="AP52" s="444"/>
      <c r="AQ52" s="444">
        <f t="shared" si="12"/>
        <v>0</v>
      </c>
      <c r="AR52" s="445">
        <f t="shared" si="12"/>
        <v>0</v>
      </c>
      <c r="AS52" s="616">
        <f t="shared" si="1"/>
        <v>0</v>
      </c>
      <c r="AT52" s="616">
        <f t="shared" si="1"/>
        <v>0</v>
      </c>
      <c r="AU52" s="616">
        <f t="shared" si="2"/>
        <v>0</v>
      </c>
      <c r="AV52" s="6"/>
      <c r="AW52" s="616">
        <f>+'[7]Metas'!S52:S67-S52</f>
        <v>0</v>
      </c>
      <c r="AX52" s="616">
        <f>+'[7]Metas'!T52:T67-T52</f>
        <v>0</v>
      </c>
      <c r="AY52" s="616">
        <f>+'[7]Metas'!U52:U67-U52</f>
        <v>0</v>
      </c>
      <c r="AZ52" s="616">
        <f>+'[7]Metas'!V52:V67-V52</f>
        <v>0</v>
      </c>
      <c r="BA52" s="6"/>
      <c r="BB52" s="6"/>
      <c r="BC52" s="6"/>
      <c r="BD52" s="6"/>
      <c r="BE52" s="446"/>
      <c r="BF52" s="446"/>
      <c r="BG52" s="446"/>
      <c r="BH52" s="446"/>
      <c r="BI52" s="446"/>
      <c r="BJ52" s="446"/>
      <c r="BN52" s="6"/>
      <c r="BO52" s="6"/>
      <c r="BP52" s="6"/>
      <c r="BQ52" s="6"/>
      <c r="BR52" s="6"/>
      <c r="BS52" s="6"/>
      <c r="BT52" s="6"/>
      <c r="BU52" s="6"/>
      <c r="BV52" s="6"/>
      <c r="BW52" s="6"/>
      <c r="BX52" s="6"/>
      <c r="BY52" s="6"/>
      <c r="BZ52" s="6"/>
      <c r="CA52" s="6"/>
      <c r="CB52" s="6"/>
      <c r="CC52" s="6"/>
      <c r="CD52" s="6"/>
      <c r="CE52" s="6"/>
    </row>
    <row r="53" spans="1:83" s="618" customFormat="1" ht="15.75">
      <c r="A53" s="608"/>
      <c r="B53" s="608"/>
      <c r="C53" s="608"/>
      <c r="D53" s="608"/>
      <c r="E53" s="608"/>
      <c r="F53" s="608"/>
      <c r="G53" s="609"/>
      <c r="H53" s="431"/>
      <c r="I53" s="619"/>
      <c r="J53" s="432"/>
      <c r="K53" s="432"/>
      <c r="L53" s="476"/>
      <c r="M53" s="432"/>
      <c r="N53" s="619"/>
      <c r="O53" s="620"/>
      <c r="P53" s="621"/>
      <c r="Q53" s="315"/>
      <c r="R53" s="315"/>
      <c r="S53" s="315"/>
      <c r="T53" s="315"/>
      <c r="U53" s="315"/>
      <c r="V53" s="315"/>
      <c r="W53" s="622"/>
      <c r="X53" s="622"/>
      <c r="Y53" s="623"/>
      <c r="Z53" s="624"/>
      <c r="AA53" s="623"/>
      <c r="AB53" s="442" t="s">
        <v>233</v>
      </c>
      <c r="AC53" s="444"/>
      <c r="AD53" s="444"/>
      <c r="AE53" s="444"/>
      <c r="AF53" s="444"/>
      <c r="AG53" s="444"/>
      <c r="AH53" s="444"/>
      <c r="AI53" s="444"/>
      <c r="AJ53" s="444"/>
      <c r="AK53" s="444"/>
      <c r="AL53" s="444"/>
      <c r="AM53" s="444"/>
      <c r="AN53" s="444"/>
      <c r="AO53" s="444"/>
      <c r="AP53" s="444"/>
      <c r="AQ53" s="444">
        <f t="shared" si="12"/>
        <v>0</v>
      </c>
      <c r="AR53" s="445">
        <f t="shared" si="12"/>
        <v>0</v>
      </c>
      <c r="AS53" s="616">
        <f t="shared" si="1"/>
        <v>0</v>
      </c>
      <c r="AT53" s="616">
        <f t="shared" si="1"/>
        <v>0</v>
      </c>
      <c r="AU53" s="616">
        <f t="shared" si="2"/>
        <v>0</v>
      </c>
      <c r="AV53" s="6"/>
      <c r="AW53" s="616">
        <f>+'[7]Metas'!S53:S68-S53</f>
        <v>0</v>
      </c>
      <c r="AX53" s="616">
        <f>+'[7]Metas'!T53:T68-T53</f>
        <v>0</v>
      </c>
      <c r="AY53" s="616">
        <f>+'[7]Metas'!U53:U68-U53</f>
        <v>0</v>
      </c>
      <c r="AZ53" s="616">
        <f>+'[7]Metas'!V53:V68-V53</f>
        <v>0</v>
      </c>
      <c r="BA53" s="6"/>
      <c r="BB53" s="6"/>
      <c r="BC53" s="6"/>
      <c r="BD53" s="6"/>
      <c r="BE53" s="446"/>
      <c r="BF53" s="446"/>
      <c r="BG53" s="446"/>
      <c r="BH53" s="446"/>
      <c r="BI53" s="446"/>
      <c r="BJ53" s="446"/>
      <c r="BN53" s="6"/>
      <c r="BO53" s="6"/>
      <c r="BP53" s="6"/>
      <c r="BQ53" s="6"/>
      <c r="BR53" s="6"/>
      <c r="BS53" s="6"/>
      <c r="BT53" s="6"/>
      <c r="BU53" s="6"/>
      <c r="BV53" s="6"/>
      <c r="BW53" s="6"/>
      <c r="BX53" s="6"/>
      <c r="BY53" s="6"/>
      <c r="BZ53" s="6"/>
      <c r="CA53" s="6"/>
      <c r="CB53" s="6"/>
      <c r="CC53" s="6"/>
      <c r="CD53" s="6"/>
      <c r="CE53" s="6"/>
    </row>
    <row r="54" spans="1:83" s="618" customFormat="1" ht="15.75">
      <c r="A54" s="608"/>
      <c r="B54" s="608"/>
      <c r="C54" s="608"/>
      <c r="D54" s="608"/>
      <c r="E54" s="608"/>
      <c r="F54" s="608"/>
      <c r="G54" s="609"/>
      <c r="H54" s="431"/>
      <c r="I54" s="619"/>
      <c r="J54" s="432"/>
      <c r="K54" s="432"/>
      <c r="L54" s="476"/>
      <c r="M54" s="432"/>
      <c r="N54" s="619"/>
      <c r="O54" s="620"/>
      <c r="P54" s="621"/>
      <c r="Q54" s="315"/>
      <c r="R54" s="315"/>
      <c r="S54" s="315"/>
      <c r="T54" s="315"/>
      <c r="U54" s="315"/>
      <c r="V54" s="315"/>
      <c r="W54" s="622"/>
      <c r="X54" s="622"/>
      <c r="Y54" s="623"/>
      <c r="Z54" s="624"/>
      <c r="AA54" s="623"/>
      <c r="AB54" s="447" t="s">
        <v>234</v>
      </c>
      <c r="AC54" s="448">
        <f aca="true" t="shared" si="13" ref="AC54:AR54">SUM(AC48:AC53)</f>
        <v>0</v>
      </c>
      <c r="AD54" s="448">
        <f t="shared" si="13"/>
        <v>0</v>
      </c>
      <c r="AE54" s="448">
        <f t="shared" si="13"/>
        <v>0</v>
      </c>
      <c r="AF54" s="448">
        <f t="shared" si="13"/>
        <v>0</v>
      </c>
      <c r="AG54" s="448">
        <f t="shared" si="13"/>
        <v>0</v>
      </c>
      <c r="AH54" s="448">
        <f t="shared" si="13"/>
        <v>0</v>
      </c>
      <c r="AI54" s="448">
        <f t="shared" si="13"/>
        <v>0</v>
      </c>
      <c r="AJ54" s="448">
        <f t="shared" si="13"/>
        <v>0</v>
      </c>
      <c r="AK54" s="448">
        <f t="shared" si="13"/>
        <v>0</v>
      </c>
      <c r="AL54" s="448">
        <f t="shared" si="13"/>
        <v>0</v>
      </c>
      <c r="AM54" s="448">
        <f t="shared" si="13"/>
        <v>0</v>
      </c>
      <c r="AN54" s="448">
        <f t="shared" si="13"/>
        <v>0</v>
      </c>
      <c r="AO54" s="448">
        <f t="shared" si="13"/>
        <v>0</v>
      </c>
      <c r="AP54" s="448">
        <f t="shared" si="13"/>
        <v>0</v>
      </c>
      <c r="AQ54" s="448">
        <f t="shared" si="13"/>
        <v>0</v>
      </c>
      <c r="AR54" s="449">
        <f t="shared" si="13"/>
        <v>0</v>
      </c>
      <c r="AS54" s="616">
        <f t="shared" si="1"/>
        <v>0</v>
      </c>
      <c r="AT54" s="616">
        <f t="shared" si="1"/>
        <v>0</v>
      </c>
      <c r="AU54" s="616">
        <f t="shared" si="2"/>
        <v>0</v>
      </c>
      <c r="AV54" s="6"/>
      <c r="AW54" s="616">
        <f>+'[7]Metas'!S54:S69-S54</f>
        <v>0</v>
      </c>
      <c r="AX54" s="616">
        <f>+'[7]Metas'!T54:T69-T54</f>
        <v>0</v>
      </c>
      <c r="AY54" s="616">
        <f>+'[7]Metas'!U54:U69-U54</f>
        <v>0</v>
      </c>
      <c r="AZ54" s="616">
        <f>+'[7]Metas'!V54:V69-V54</f>
        <v>0</v>
      </c>
      <c r="BA54" s="6"/>
      <c r="BB54" s="6"/>
      <c r="BC54" s="6"/>
      <c r="BD54" s="6"/>
      <c r="BE54" s="446"/>
      <c r="BF54" s="446"/>
      <c r="BG54" s="446"/>
      <c r="BH54" s="446"/>
      <c r="BI54" s="446"/>
      <c r="BJ54" s="446"/>
      <c r="BN54" s="6"/>
      <c r="BO54" s="6"/>
      <c r="BP54" s="6"/>
      <c r="BQ54" s="6"/>
      <c r="BR54" s="6"/>
      <c r="BS54" s="6"/>
      <c r="BT54" s="6"/>
      <c r="BU54" s="6"/>
      <c r="BV54" s="6"/>
      <c r="BW54" s="6"/>
      <c r="BX54" s="6"/>
      <c r="BY54" s="6"/>
      <c r="BZ54" s="6"/>
      <c r="CA54" s="6"/>
      <c r="CB54" s="6"/>
      <c r="CC54" s="6"/>
      <c r="CD54" s="6"/>
      <c r="CE54" s="6"/>
    </row>
    <row r="55" spans="1:83" s="618" customFormat="1" ht="15.75">
      <c r="A55" s="608"/>
      <c r="B55" s="608"/>
      <c r="C55" s="608"/>
      <c r="D55" s="608"/>
      <c r="E55" s="608"/>
      <c r="F55" s="608"/>
      <c r="G55" s="609"/>
      <c r="H55" s="431"/>
      <c r="I55" s="619"/>
      <c r="J55" s="432"/>
      <c r="K55" s="432"/>
      <c r="L55" s="476"/>
      <c r="M55" s="432"/>
      <c r="N55" s="619"/>
      <c r="O55" s="620"/>
      <c r="P55" s="621"/>
      <c r="Q55" s="315"/>
      <c r="R55" s="315"/>
      <c r="S55" s="315"/>
      <c r="T55" s="315"/>
      <c r="U55" s="315"/>
      <c r="V55" s="315"/>
      <c r="W55" s="622"/>
      <c r="X55" s="622"/>
      <c r="Y55" s="623"/>
      <c r="Z55" s="624"/>
      <c r="AA55" s="623"/>
      <c r="AB55" s="450" t="s">
        <v>235</v>
      </c>
      <c r="AC55" s="444"/>
      <c r="AD55" s="444"/>
      <c r="AE55" s="444"/>
      <c r="AF55" s="444"/>
      <c r="AG55" s="444"/>
      <c r="AH55" s="444"/>
      <c r="AI55" s="444"/>
      <c r="AJ55" s="444"/>
      <c r="AK55" s="444"/>
      <c r="AL55" s="444"/>
      <c r="AM55" s="444"/>
      <c r="AN55" s="444"/>
      <c r="AO55" s="444"/>
      <c r="AP55" s="444"/>
      <c r="AQ55" s="444">
        <f>+AC55+AE55+AG55+AI55+AK55+AM55+AO55</f>
        <v>0</v>
      </c>
      <c r="AR55" s="445">
        <f aca="true" t="shared" si="14" ref="AR55:AR61">+AD55+AF55+AH55+AJ55+AL55+AN55+AP55</f>
        <v>0</v>
      </c>
      <c r="AS55" s="616">
        <f t="shared" si="1"/>
        <v>0</v>
      </c>
      <c r="AT55" s="616">
        <f t="shared" si="1"/>
        <v>0</v>
      </c>
      <c r="AU55" s="616">
        <f t="shared" si="2"/>
        <v>0</v>
      </c>
      <c r="AV55" s="6"/>
      <c r="AW55" s="616">
        <f>+'[7]Metas'!S55:S70-S55</f>
        <v>0</v>
      </c>
      <c r="AX55" s="616">
        <f>+'[7]Metas'!T55:T70-T55</f>
        <v>0</v>
      </c>
      <c r="AY55" s="616">
        <f>+'[7]Metas'!U55:U70-U55</f>
        <v>0</v>
      </c>
      <c r="AZ55" s="616">
        <f>+'[7]Metas'!V55:V70-V55</f>
        <v>0</v>
      </c>
      <c r="BA55" s="6"/>
      <c r="BB55" s="6"/>
      <c r="BC55" s="6"/>
      <c r="BD55" s="6"/>
      <c r="BE55" s="446"/>
      <c r="BF55" s="446"/>
      <c r="BG55" s="446"/>
      <c r="BH55" s="446"/>
      <c r="BI55" s="446"/>
      <c r="BJ55" s="446"/>
      <c r="BN55" s="6"/>
      <c r="BO55" s="6"/>
      <c r="BP55" s="6"/>
      <c r="BQ55" s="6"/>
      <c r="BR55" s="6"/>
      <c r="BS55" s="6"/>
      <c r="BT55" s="6"/>
      <c r="BU55" s="6"/>
      <c r="BV55" s="6"/>
      <c r="BW55" s="6"/>
      <c r="BX55" s="6"/>
      <c r="BY55" s="6"/>
      <c r="BZ55" s="6"/>
      <c r="CA55" s="6"/>
      <c r="CB55" s="6"/>
      <c r="CC55" s="6"/>
      <c r="CD55" s="6"/>
      <c r="CE55" s="6"/>
    </row>
    <row r="56" spans="1:83" s="618" customFormat="1" ht="15.75">
      <c r="A56" s="608"/>
      <c r="B56" s="608"/>
      <c r="C56" s="608"/>
      <c r="D56" s="608"/>
      <c r="E56" s="608"/>
      <c r="F56" s="608"/>
      <c r="G56" s="609"/>
      <c r="H56" s="431"/>
      <c r="I56" s="619"/>
      <c r="J56" s="432"/>
      <c r="K56" s="432"/>
      <c r="L56" s="476"/>
      <c r="M56" s="432"/>
      <c r="N56" s="619"/>
      <c r="O56" s="620"/>
      <c r="P56" s="621"/>
      <c r="Q56" s="315"/>
      <c r="R56" s="315"/>
      <c r="S56" s="315"/>
      <c r="T56" s="315"/>
      <c r="U56" s="315"/>
      <c r="V56" s="315"/>
      <c r="W56" s="622"/>
      <c r="X56" s="622"/>
      <c r="Y56" s="623"/>
      <c r="Z56" s="624"/>
      <c r="AA56" s="623"/>
      <c r="AB56" s="450" t="s">
        <v>236</v>
      </c>
      <c r="AC56" s="444"/>
      <c r="AD56" s="444"/>
      <c r="AE56" s="444"/>
      <c r="AF56" s="444"/>
      <c r="AG56" s="444"/>
      <c r="AH56" s="444"/>
      <c r="AI56" s="444"/>
      <c r="AJ56" s="444"/>
      <c r="AK56" s="444"/>
      <c r="AL56" s="444"/>
      <c r="AM56" s="444"/>
      <c r="AN56" s="444"/>
      <c r="AO56" s="444"/>
      <c r="AP56" s="444"/>
      <c r="AQ56" s="444">
        <f aca="true" t="shared" si="15" ref="AQ56:AQ61">+AC56+AE56+AG56+AI56+AK56+AM56+AO56</f>
        <v>0</v>
      </c>
      <c r="AR56" s="445">
        <f t="shared" si="14"/>
        <v>0</v>
      </c>
      <c r="AS56" s="616">
        <f t="shared" si="1"/>
        <v>0</v>
      </c>
      <c r="AT56" s="616">
        <f t="shared" si="1"/>
        <v>0</v>
      </c>
      <c r="AU56" s="616">
        <f t="shared" si="2"/>
        <v>0</v>
      </c>
      <c r="AV56" s="6"/>
      <c r="AW56" s="616">
        <f>+'[7]Metas'!S56:S71-S56</f>
        <v>0</v>
      </c>
      <c r="AX56" s="616">
        <f>+'[7]Metas'!T56:T71-T56</f>
        <v>0</v>
      </c>
      <c r="AY56" s="616">
        <f>+'[7]Metas'!U56:U71-U56</f>
        <v>0</v>
      </c>
      <c r="AZ56" s="616">
        <f>+'[7]Metas'!V56:V71-V56</f>
        <v>0</v>
      </c>
      <c r="BA56" s="6"/>
      <c r="BB56" s="6"/>
      <c r="BC56" s="6"/>
      <c r="BD56" s="6"/>
      <c r="BE56" s="446"/>
      <c r="BF56" s="446"/>
      <c r="BG56" s="446"/>
      <c r="BH56" s="446"/>
      <c r="BI56" s="446"/>
      <c r="BJ56" s="446"/>
      <c r="BN56" s="6"/>
      <c r="BO56" s="6"/>
      <c r="BP56" s="6"/>
      <c r="BQ56" s="6"/>
      <c r="BR56" s="6"/>
      <c r="BS56" s="6"/>
      <c r="BT56" s="6"/>
      <c r="BU56" s="6"/>
      <c r="BV56" s="6"/>
      <c r="BW56" s="6"/>
      <c r="BX56" s="6"/>
      <c r="BY56" s="6"/>
      <c r="BZ56" s="6"/>
      <c r="CA56" s="6"/>
      <c r="CB56" s="6"/>
      <c r="CC56" s="6"/>
      <c r="CD56" s="6"/>
      <c r="CE56" s="6"/>
    </row>
    <row r="57" spans="1:83" s="618" customFormat="1" ht="15.75">
      <c r="A57" s="608"/>
      <c r="B57" s="608"/>
      <c r="C57" s="608"/>
      <c r="D57" s="608"/>
      <c r="E57" s="608"/>
      <c r="F57" s="608"/>
      <c r="G57" s="609"/>
      <c r="H57" s="431"/>
      <c r="I57" s="619"/>
      <c r="J57" s="432"/>
      <c r="K57" s="432"/>
      <c r="L57" s="476"/>
      <c r="M57" s="432"/>
      <c r="N57" s="619"/>
      <c r="O57" s="620"/>
      <c r="P57" s="621"/>
      <c r="Q57" s="315"/>
      <c r="R57" s="315"/>
      <c r="S57" s="315"/>
      <c r="T57" s="315"/>
      <c r="U57" s="315"/>
      <c r="V57" s="315"/>
      <c r="W57" s="622"/>
      <c r="X57" s="622"/>
      <c r="Y57" s="623"/>
      <c r="Z57" s="624"/>
      <c r="AA57" s="623"/>
      <c r="AB57" s="442" t="s">
        <v>237</v>
      </c>
      <c r="AC57" s="444"/>
      <c r="AD57" s="444"/>
      <c r="AE57" s="444"/>
      <c r="AF57" s="444"/>
      <c r="AG57" s="444"/>
      <c r="AH57" s="444"/>
      <c r="AI57" s="444"/>
      <c r="AJ57" s="444"/>
      <c r="AK57" s="444"/>
      <c r="AL57" s="444"/>
      <c r="AM57" s="444"/>
      <c r="AN57" s="444"/>
      <c r="AO57" s="444"/>
      <c r="AP57" s="444"/>
      <c r="AQ57" s="444">
        <f t="shared" si="15"/>
        <v>0</v>
      </c>
      <c r="AR57" s="445">
        <f t="shared" si="14"/>
        <v>0</v>
      </c>
      <c r="AS57" s="616">
        <f t="shared" si="1"/>
        <v>0</v>
      </c>
      <c r="AT57" s="616">
        <f t="shared" si="1"/>
        <v>0</v>
      </c>
      <c r="AU57" s="616">
        <f t="shared" si="2"/>
        <v>0</v>
      </c>
      <c r="AV57" s="6"/>
      <c r="AW57" s="616">
        <f>+'[7]Metas'!S57:S72-S57</f>
        <v>0</v>
      </c>
      <c r="AX57" s="616">
        <f>+'[7]Metas'!T57:T72-T57</f>
        <v>0</v>
      </c>
      <c r="AY57" s="616">
        <f>+'[7]Metas'!U57:U72-U57</f>
        <v>0</v>
      </c>
      <c r="AZ57" s="616">
        <f>+'[7]Metas'!V57:V72-V57</f>
        <v>0</v>
      </c>
      <c r="BA57" s="6"/>
      <c r="BB57" s="6"/>
      <c r="BC57" s="6"/>
      <c r="BD57" s="6"/>
      <c r="BE57" s="446"/>
      <c r="BF57" s="446"/>
      <c r="BG57" s="446"/>
      <c r="BH57" s="446"/>
      <c r="BI57" s="446"/>
      <c r="BJ57" s="446"/>
      <c r="BN57" s="6"/>
      <c r="BO57" s="6"/>
      <c r="BP57" s="6"/>
      <c r="BQ57" s="6"/>
      <c r="BR57" s="6"/>
      <c r="BS57" s="6"/>
      <c r="BT57" s="6"/>
      <c r="BU57" s="6"/>
      <c r="BV57" s="6"/>
      <c r="BW57" s="6"/>
      <c r="BX57" s="6"/>
      <c r="BY57" s="6"/>
      <c r="BZ57" s="6"/>
      <c r="CA57" s="6"/>
      <c r="CB57" s="6"/>
      <c r="CC57" s="6"/>
      <c r="CD57" s="6"/>
      <c r="CE57" s="6"/>
    </row>
    <row r="58" spans="1:83" s="618" customFormat="1" ht="15.75">
      <c r="A58" s="608"/>
      <c r="B58" s="608"/>
      <c r="C58" s="608"/>
      <c r="D58" s="608"/>
      <c r="E58" s="608"/>
      <c r="F58" s="608"/>
      <c r="G58" s="609"/>
      <c r="H58" s="431"/>
      <c r="I58" s="619"/>
      <c r="J58" s="432"/>
      <c r="K58" s="432"/>
      <c r="L58" s="476"/>
      <c r="M58" s="432"/>
      <c r="N58" s="619"/>
      <c r="O58" s="620"/>
      <c r="P58" s="621"/>
      <c r="Q58" s="315"/>
      <c r="R58" s="315"/>
      <c r="S58" s="315"/>
      <c r="T58" s="315"/>
      <c r="U58" s="315"/>
      <c r="V58" s="315"/>
      <c r="W58" s="622"/>
      <c r="X58" s="622"/>
      <c r="Y58" s="623"/>
      <c r="Z58" s="624"/>
      <c r="AA58" s="623"/>
      <c r="AB58" s="442" t="s">
        <v>238</v>
      </c>
      <c r="AC58" s="444"/>
      <c r="AD58" s="444"/>
      <c r="AE58" s="444"/>
      <c r="AF58" s="444"/>
      <c r="AG58" s="444"/>
      <c r="AH58" s="444"/>
      <c r="AI58" s="444"/>
      <c r="AJ58" s="444"/>
      <c r="AK58" s="444"/>
      <c r="AL58" s="444"/>
      <c r="AM58" s="444"/>
      <c r="AN58" s="444"/>
      <c r="AO58" s="444"/>
      <c r="AP58" s="444"/>
      <c r="AQ58" s="444">
        <f t="shared" si="15"/>
        <v>0</v>
      </c>
      <c r="AR58" s="445">
        <f t="shared" si="14"/>
        <v>0</v>
      </c>
      <c r="AS58" s="616">
        <f t="shared" si="1"/>
        <v>0</v>
      </c>
      <c r="AT58" s="616">
        <f t="shared" si="1"/>
        <v>0</v>
      </c>
      <c r="AU58" s="616">
        <f t="shared" si="2"/>
        <v>0</v>
      </c>
      <c r="AV58" s="6"/>
      <c r="AW58" s="616">
        <f>+'[7]Metas'!S58:S73-S58</f>
        <v>0</v>
      </c>
      <c r="AX58" s="616">
        <f>+'[7]Metas'!T58:T73-T58</f>
        <v>0</v>
      </c>
      <c r="AY58" s="616">
        <f>+'[7]Metas'!U58:U73-U58</f>
        <v>0</v>
      </c>
      <c r="AZ58" s="616">
        <f>+'[7]Metas'!V58:V73-V58</f>
        <v>0</v>
      </c>
      <c r="BA58" s="6"/>
      <c r="BB58" s="6"/>
      <c r="BC58" s="6"/>
      <c r="BD58" s="6"/>
      <c r="BE58" s="446"/>
      <c r="BF58" s="446"/>
      <c r="BG58" s="446"/>
      <c r="BH58" s="446"/>
      <c r="BI58" s="446"/>
      <c r="BJ58" s="446"/>
      <c r="BN58" s="6"/>
      <c r="BO58" s="6"/>
      <c r="BP58" s="6"/>
      <c r="BQ58" s="6"/>
      <c r="BR58" s="6"/>
      <c r="BS58" s="6"/>
      <c r="BT58" s="6"/>
      <c r="BU58" s="6"/>
      <c r="BV58" s="6"/>
      <c r="BW58" s="6"/>
      <c r="BX58" s="6"/>
      <c r="BY58" s="6"/>
      <c r="BZ58" s="6"/>
      <c r="CA58" s="6"/>
      <c r="CB58" s="6"/>
      <c r="CC58" s="6"/>
      <c r="CD58" s="6"/>
      <c r="CE58" s="6"/>
    </row>
    <row r="59" spans="1:83" s="618" customFormat="1" ht="15.75">
      <c r="A59" s="608"/>
      <c r="B59" s="608"/>
      <c r="C59" s="608"/>
      <c r="D59" s="608"/>
      <c r="E59" s="608"/>
      <c r="F59" s="608"/>
      <c r="G59" s="609"/>
      <c r="H59" s="431"/>
      <c r="I59" s="619"/>
      <c r="J59" s="432"/>
      <c r="K59" s="432"/>
      <c r="L59" s="476"/>
      <c r="M59" s="432"/>
      <c r="N59" s="619"/>
      <c r="O59" s="620"/>
      <c r="P59" s="621"/>
      <c r="Q59" s="315"/>
      <c r="R59" s="315"/>
      <c r="S59" s="315"/>
      <c r="T59" s="315"/>
      <c r="U59" s="315"/>
      <c r="V59" s="315"/>
      <c r="W59" s="622"/>
      <c r="X59" s="622"/>
      <c r="Y59" s="623"/>
      <c r="Z59" s="624"/>
      <c r="AA59" s="623"/>
      <c r="AB59" s="442" t="s">
        <v>239</v>
      </c>
      <c r="AC59" s="444"/>
      <c r="AD59" s="444"/>
      <c r="AE59" s="444"/>
      <c r="AF59" s="444"/>
      <c r="AG59" s="444"/>
      <c r="AH59" s="444"/>
      <c r="AI59" s="444"/>
      <c r="AJ59" s="444"/>
      <c r="AK59" s="444"/>
      <c r="AL59" s="444"/>
      <c r="AM59" s="444"/>
      <c r="AN59" s="444"/>
      <c r="AO59" s="444"/>
      <c r="AP59" s="444"/>
      <c r="AQ59" s="444">
        <f t="shared" si="15"/>
        <v>0</v>
      </c>
      <c r="AR59" s="445">
        <f t="shared" si="14"/>
        <v>0</v>
      </c>
      <c r="AS59" s="616">
        <f t="shared" si="1"/>
        <v>0</v>
      </c>
      <c r="AT59" s="616">
        <f t="shared" si="1"/>
        <v>0</v>
      </c>
      <c r="AU59" s="616">
        <f t="shared" si="2"/>
        <v>0</v>
      </c>
      <c r="AV59" s="6"/>
      <c r="AW59" s="616">
        <f>+'[7]Metas'!S59:S74-S59</f>
        <v>0</v>
      </c>
      <c r="AX59" s="616">
        <f>+'[7]Metas'!T59:T74-T59</f>
        <v>0</v>
      </c>
      <c r="AY59" s="616">
        <f>+'[7]Metas'!U59:U74-U59</f>
        <v>0</v>
      </c>
      <c r="AZ59" s="616">
        <f>+'[7]Metas'!V59:V74-V59</f>
        <v>0</v>
      </c>
      <c r="BA59" s="6"/>
      <c r="BB59" s="6"/>
      <c r="BC59" s="6"/>
      <c r="BD59" s="6"/>
      <c r="BE59" s="446"/>
      <c r="BF59" s="446"/>
      <c r="BG59" s="446"/>
      <c r="BH59" s="446"/>
      <c r="BI59" s="446"/>
      <c r="BJ59" s="446"/>
      <c r="BN59" s="6"/>
      <c r="BO59" s="6"/>
      <c r="BP59" s="6"/>
      <c r="BQ59" s="6"/>
      <c r="BR59" s="6"/>
      <c r="BS59" s="6"/>
      <c r="BT59" s="6"/>
      <c r="BU59" s="6"/>
      <c r="BV59" s="6"/>
      <c r="BW59" s="6"/>
      <c r="BX59" s="6"/>
      <c r="BY59" s="6"/>
      <c r="BZ59" s="6"/>
      <c r="CA59" s="6"/>
      <c r="CB59" s="6"/>
      <c r="CC59" s="6"/>
      <c r="CD59" s="6"/>
      <c r="CE59" s="6"/>
    </row>
    <row r="60" spans="1:83" s="618" customFormat="1" ht="15.75">
      <c r="A60" s="608"/>
      <c r="B60" s="608"/>
      <c r="C60" s="608"/>
      <c r="D60" s="608"/>
      <c r="E60" s="608"/>
      <c r="F60" s="608"/>
      <c r="G60" s="609"/>
      <c r="H60" s="431"/>
      <c r="I60" s="619"/>
      <c r="J60" s="432"/>
      <c r="K60" s="432"/>
      <c r="L60" s="476"/>
      <c r="M60" s="432"/>
      <c r="N60" s="619"/>
      <c r="O60" s="620"/>
      <c r="P60" s="621"/>
      <c r="Q60" s="315"/>
      <c r="R60" s="315"/>
      <c r="S60" s="315"/>
      <c r="T60" s="315"/>
      <c r="U60" s="315"/>
      <c r="V60" s="315"/>
      <c r="W60" s="622"/>
      <c r="X60" s="622"/>
      <c r="Y60" s="623"/>
      <c r="Z60" s="624"/>
      <c r="AA60" s="623"/>
      <c r="AB60" s="442" t="s">
        <v>240</v>
      </c>
      <c r="AC60" s="444"/>
      <c r="AD60" s="444"/>
      <c r="AE60" s="444"/>
      <c r="AF60" s="444"/>
      <c r="AG60" s="444"/>
      <c r="AH60" s="444"/>
      <c r="AI60" s="444"/>
      <c r="AJ60" s="444"/>
      <c r="AK60" s="444"/>
      <c r="AL60" s="444"/>
      <c r="AM60" s="444"/>
      <c r="AN60" s="444"/>
      <c r="AO60" s="444"/>
      <c r="AP60" s="444"/>
      <c r="AQ60" s="444">
        <f t="shared" si="15"/>
        <v>0</v>
      </c>
      <c r="AR60" s="445">
        <f t="shared" si="14"/>
        <v>0</v>
      </c>
      <c r="AS60" s="616">
        <f t="shared" si="1"/>
        <v>0</v>
      </c>
      <c r="AT60" s="616">
        <f t="shared" si="1"/>
        <v>0</v>
      </c>
      <c r="AU60" s="616">
        <f t="shared" si="2"/>
        <v>0</v>
      </c>
      <c r="AV60" s="6"/>
      <c r="AW60" s="616">
        <f>+'[7]Metas'!S60:S75-S60</f>
        <v>0</v>
      </c>
      <c r="AX60" s="616">
        <f>+'[7]Metas'!T60:T75-T60</f>
        <v>0</v>
      </c>
      <c r="AY60" s="616">
        <f>+'[7]Metas'!U60:U75-U60</f>
        <v>0</v>
      </c>
      <c r="AZ60" s="616">
        <f>+'[7]Metas'!V60:V75-V60</f>
        <v>0</v>
      </c>
      <c r="BA60" s="6"/>
      <c r="BB60" s="6"/>
      <c r="BC60" s="6"/>
      <c r="BD60" s="6"/>
      <c r="BE60" s="446"/>
      <c r="BF60" s="446"/>
      <c r="BG60" s="446"/>
      <c r="BH60" s="446"/>
      <c r="BI60" s="446"/>
      <c r="BJ60" s="446"/>
      <c r="BN60" s="6"/>
      <c r="BO60" s="6"/>
      <c r="BP60" s="6"/>
      <c r="BQ60" s="6"/>
      <c r="BR60" s="6"/>
      <c r="BS60" s="6"/>
      <c r="BT60" s="6"/>
      <c r="BU60" s="6"/>
      <c r="BV60" s="6"/>
      <c r="BW60" s="6"/>
      <c r="BX60" s="6"/>
      <c r="BY60" s="6"/>
      <c r="BZ60" s="6"/>
      <c r="CA60" s="6"/>
      <c r="CB60" s="6"/>
      <c r="CC60" s="6"/>
      <c r="CD60" s="6"/>
      <c r="CE60" s="6"/>
    </row>
    <row r="61" spans="1:83" s="618" customFormat="1" ht="15.75">
      <c r="A61" s="608"/>
      <c r="B61" s="608"/>
      <c r="C61" s="608"/>
      <c r="D61" s="608"/>
      <c r="E61" s="608"/>
      <c r="F61" s="608"/>
      <c r="G61" s="609"/>
      <c r="H61" s="431"/>
      <c r="I61" s="619"/>
      <c r="J61" s="432"/>
      <c r="K61" s="432"/>
      <c r="L61" s="476"/>
      <c r="M61" s="432"/>
      <c r="N61" s="619"/>
      <c r="O61" s="620"/>
      <c r="P61" s="621"/>
      <c r="Q61" s="315"/>
      <c r="R61" s="315"/>
      <c r="S61" s="315"/>
      <c r="T61" s="315"/>
      <c r="U61" s="315"/>
      <c r="V61" s="315"/>
      <c r="W61" s="622"/>
      <c r="X61" s="622"/>
      <c r="Y61" s="623"/>
      <c r="Z61" s="624"/>
      <c r="AA61" s="623"/>
      <c r="AB61" s="442" t="s">
        <v>241</v>
      </c>
      <c r="AC61" s="444"/>
      <c r="AD61" s="444"/>
      <c r="AE61" s="444"/>
      <c r="AF61" s="444"/>
      <c r="AG61" s="444"/>
      <c r="AH61" s="444"/>
      <c r="AI61" s="444"/>
      <c r="AJ61" s="444"/>
      <c r="AK61" s="444"/>
      <c r="AL61" s="444"/>
      <c r="AM61" s="444"/>
      <c r="AN61" s="444"/>
      <c r="AO61" s="444"/>
      <c r="AP61" s="444"/>
      <c r="AQ61" s="444">
        <f t="shared" si="15"/>
        <v>0</v>
      </c>
      <c r="AR61" s="445">
        <f t="shared" si="14"/>
        <v>0</v>
      </c>
      <c r="AS61" s="616">
        <f t="shared" si="1"/>
        <v>0</v>
      </c>
      <c r="AT61" s="616">
        <f t="shared" si="1"/>
        <v>0</v>
      </c>
      <c r="AU61" s="616">
        <f t="shared" si="2"/>
        <v>0</v>
      </c>
      <c r="AV61" s="6"/>
      <c r="AW61" s="616">
        <f>+'[7]Metas'!S61:S76-S61</f>
        <v>0</v>
      </c>
      <c r="AX61" s="616">
        <f>+'[7]Metas'!T61:T76-T61</f>
        <v>0</v>
      </c>
      <c r="AY61" s="616">
        <f>+'[7]Metas'!U61:U76-U61</f>
        <v>0</v>
      </c>
      <c r="AZ61" s="616">
        <f>+'[7]Metas'!V61:V76-V61</f>
        <v>0</v>
      </c>
      <c r="BA61" s="6"/>
      <c r="BB61" s="6"/>
      <c r="BC61" s="6"/>
      <c r="BD61" s="6"/>
      <c r="BE61" s="446"/>
      <c r="BF61" s="446"/>
      <c r="BG61" s="446"/>
      <c r="BH61" s="446"/>
      <c r="BI61" s="446"/>
      <c r="BJ61" s="446"/>
      <c r="BN61" s="6"/>
      <c r="BO61" s="6"/>
      <c r="BP61" s="6"/>
      <c r="BQ61" s="6"/>
      <c r="BR61" s="6"/>
      <c r="BS61" s="6"/>
      <c r="BT61" s="6"/>
      <c r="BU61" s="6"/>
      <c r="BV61" s="6"/>
      <c r="BW61" s="6"/>
      <c r="BX61" s="6"/>
      <c r="BY61" s="6"/>
      <c r="BZ61" s="6"/>
      <c r="CA61" s="6"/>
      <c r="CB61" s="6"/>
      <c r="CC61" s="6"/>
      <c r="CD61" s="6"/>
      <c r="CE61" s="6"/>
    </row>
    <row r="62" spans="1:83" s="618" customFormat="1" ht="15.75">
      <c r="A62" s="608"/>
      <c r="B62" s="608"/>
      <c r="C62" s="608"/>
      <c r="D62" s="608"/>
      <c r="E62" s="608"/>
      <c r="F62" s="608"/>
      <c r="G62" s="609"/>
      <c r="H62" s="431"/>
      <c r="I62" s="619"/>
      <c r="J62" s="432"/>
      <c r="K62" s="432"/>
      <c r="L62" s="476"/>
      <c r="M62" s="432"/>
      <c r="N62" s="619"/>
      <c r="O62" s="620"/>
      <c r="P62" s="621"/>
      <c r="Q62" s="315"/>
      <c r="R62" s="315"/>
      <c r="S62" s="315"/>
      <c r="T62" s="315"/>
      <c r="U62" s="315"/>
      <c r="V62" s="315"/>
      <c r="W62" s="622"/>
      <c r="X62" s="622"/>
      <c r="Y62" s="623"/>
      <c r="Z62" s="624"/>
      <c r="AA62" s="623"/>
      <c r="AB62" s="447" t="s">
        <v>242</v>
      </c>
      <c r="AC62" s="448">
        <f aca="true" t="shared" si="16" ref="AC62:AR62">SUM(AC56:AC61)+IF(AC54=0,AC55,AC54)</f>
        <v>0</v>
      </c>
      <c r="AD62" s="448">
        <f t="shared" si="16"/>
        <v>0</v>
      </c>
      <c r="AE62" s="448">
        <f t="shared" si="16"/>
        <v>0</v>
      </c>
      <c r="AF62" s="448">
        <f t="shared" si="16"/>
        <v>0</v>
      </c>
      <c r="AG62" s="448">
        <f t="shared" si="16"/>
        <v>0</v>
      </c>
      <c r="AH62" s="448">
        <f t="shared" si="16"/>
        <v>0</v>
      </c>
      <c r="AI62" s="448">
        <f t="shared" si="16"/>
        <v>0</v>
      </c>
      <c r="AJ62" s="448">
        <f t="shared" si="16"/>
        <v>0</v>
      </c>
      <c r="AK62" s="448">
        <f t="shared" si="16"/>
        <v>0</v>
      </c>
      <c r="AL62" s="448">
        <f t="shared" si="16"/>
        <v>0</v>
      </c>
      <c r="AM62" s="448">
        <f t="shared" si="16"/>
        <v>0</v>
      </c>
      <c r="AN62" s="448">
        <f t="shared" si="16"/>
        <v>0</v>
      </c>
      <c r="AO62" s="448">
        <f t="shared" si="16"/>
        <v>0</v>
      </c>
      <c r="AP62" s="448">
        <f t="shared" si="16"/>
        <v>0</v>
      </c>
      <c r="AQ62" s="448">
        <f t="shared" si="16"/>
        <v>0</v>
      </c>
      <c r="AR62" s="449">
        <f t="shared" si="16"/>
        <v>0</v>
      </c>
      <c r="AS62" s="616">
        <f t="shared" si="1"/>
        <v>0</v>
      </c>
      <c r="AT62" s="616">
        <f t="shared" si="1"/>
        <v>0</v>
      </c>
      <c r="AU62" s="616">
        <f t="shared" si="2"/>
        <v>0</v>
      </c>
      <c r="AV62" s="6"/>
      <c r="AW62" s="616">
        <f>+'[7]Metas'!S62:S77-S62</f>
        <v>0</v>
      </c>
      <c r="AX62" s="616">
        <f>+'[7]Metas'!T62:T77-T62</f>
        <v>0</v>
      </c>
      <c r="AY62" s="616">
        <f>+'[7]Metas'!U62:U77-U62</f>
        <v>0</v>
      </c>
      <c r="AZ62" s="616">
        <f>+'[7]Metas'!V62:V77-V62</f>
        <v>0</v>
      </c>
      <c r="BA62" s="6"/>
      <c r="BB62" s="6"/>
      <c r="BC62" s="6"/>
      <c r="BD62" s="6"/>
      <c r="BE62" s="446"/>
      <c r="BF62" s="446"/>
      <c r="BG62" s="446"/>
      <c r="BH62" s="446"/>
      <c r="BI62" s="446"/>
      <c r="BJ62" s="446"/>
      <c r="BN62" s="6"/>
      <c r="BO62" s="6"/>
      <c r="BP62" s="6"/>
      <c r="BQ62" s="6"/>
      <c r="BR62" s="6"/>
      <c r="BS62" s="6"/>
      <c r="BT62" s="6"/>
      <c r="BU62" s="6"/>
      <c r="BV62" s="6"/>
      <c r="BW62" s="6"/>
      <c r="BX62" s="6"/>
      <c r="BY62" s="6"/>
      <c r="BZ62" s="6"/>
      <c r="CA62" s="6"/>
      <c r="CB62" s="6"/>
      <c r="CC62" s="6"/>
      <c r="CD62" s="6"/>
      <c r="CE62" s="6"/>
    </row>
    <row r="63" spans="1:83" s="618" customFormat="1" ht="16.5" thickBot="1">
      <c r="A63" s="608"/>
      <c r="B63" s="608"/>
      <c r="C63" s="608"/>
      <c r="D63" s="608"/>
      <c r="E63" s="608"/>
      <c r="F63" s="608"/>
      <c r="G63" s="609"/>
      <c r="H63" s="451"/>
      <c r="I63" s="625"/>
      <c r="J63" s="452"/>
      <c r="K63" s="452"/>
      <c r="L63" s="479"/>
      <c r="M63" s="452"/>
      <c r="N63" s="625"/>
      <c r="O63" s="626"/>
      <c r="P63" s="627"/>
      <c r="Q63" s="335"/>
      <c r="R63" s="335"/>
      <c r="S63" s="335"/>
      <c r="T63" s="335"/>
      <c r="U63" s="335"/>
      <c r="V63" s="335"/>
      <c r="W63" s="628"/>
      <c r="X63" s="628"/>
      <c r="Y63" s="629"/>
      <c r="Z63" s="630"/>
      <c r="AA63" s="629"/>
      <c r="AB63" s="457" t="s">
        <v>243</v>
      </c>
      <c r="AC63" s="459"/>
      <c r="AD63" s="459"/>
      <c r="AE63" s="459"/>
      <c r="AF63" s="459"/>
      <c r="AG63" s="459"/>
      <c r="AH63" s="459"/>
      <c r="AI63" s="459"/>
      <c r="AJ63" s="459"/>
      <c r="AK63" s="459"/>
      <c r="AL63" s="459"/>
      <c r="AM63" s="459"/>
      <c r="AN63" s="459"/>
      <c r="AO63" s="459"/>
      <c r="AP63" s="459"/>
      <c r="AQ63" s="459">
        <f>+AC63+AE63+AG63+AI63+AK63+AM63+AO63</f>
        <v>0</v>
      </c>
      <c r="AR63" s="460">
        <f>+AD63+AF63+AH63+AJ63+AL63+AN63+AP63</f>
        <v>0</v>
      </c>
      <c r="AS63" s="616">
        <f t="shared" si="1"/>
        <v>0</v>
      </c>
      <c r="AT63" s="616">
        <f t="shared" si="1"/>
        <v>0</v>
      </c>
      <c r="AU63" s="616">
        <f t="shared" si="2"/>
        <v>0</v>
      </c>
      <c r="AV63" s="6"/>
      <c r="AW63" s="616">
        <f>+'[7]Metas'!S63:S78-S63</f>
        <v>0</v>
      </c>
      <c r="AX63" s="616">
        <f>+'[7]Metas'!T63:T78-T63</f>
        <v>0</v>
      </c>
      <c r="AY63" s="616">
        <f>+'[7]Metas'!U63:U78-U63</f>
        <v>0</v>
      </c>
      <c r="AZ63" s="616">
        <f>+'[7]Metas'!V63:V78-V63</f>
        <v>0</v>
      </c>
      <c r="BA63" s="6"/>
      <c r="BB63" s="6"/>
      <c r="BC63" s="6"/>
      <c r="BD63" s="6"/>
      <c r="BE63" s="446"/>
      <c r="BF63" s="446"/>
      <c r="BG63" s="446"/>
      <c r="BH63" s="446"/>
      <c r="BI63" s="446"/>
      <c r="BJ63" s="446"/>
      <c r="BN63" s="6"/>
      <c r="BO63" s="6"/>
      <c r="BP63" s="6"/>
      <c r="BQ63" s="6"/>
      <c r="BR63" s="6"/>
      <c r="BS63" s="6"/>
      <c r="BT63" s="6"/>
      <c r="BU63" s="6"/>
      <c r="BV63" s="6"/>
      <c r="BW63" s="6"/>
      <c r="BX63" s="6"/>
      <c r="BY63" s="6"/>
      <c r="BZ63" s="6"/>
      <c r="CA63" s="6"/>
      <c r="CB63" s="6"/>
      <c r="CC63" s="6"/>
      <c r="CD63" s="6"/>
      <c r="CE63" s="6"/>
    </row>
    <row r="64" spans="7:62" s="517" customFormat="1" ht="15">
      <c r="G64" s="518"/>
      <c r="H64" s="518"/>
      <c r="I64" s="518"/>
      <c r="J64" s="518"/>
      <c r="K64" s="518"/>
      <c r="L64" s="518"/>
      <c r="M64" s="518"/>
      <c r="N64" s="518"/>
      <c r="O64" s="518"/>
      <c r="P64" s="518"/>
      <c r="Q64" s="521">
        <f aca="true" t="shared" si="17" ref="Q64:V64">SUBTOTAL(9,Q16:Q63)</f>
        <v>87550000</v>
      </c>
      <c r="R64" s="521">
        <f t="shared" si="17"/>
        <v>87550000</v>
      </c>
      <c r="S64" s="521">
        <f t="shared" si="17"/>
        <v>87336400</v>
      </c>
      <c r="T64" s="521">
        <f t="shared" si="17"/>
        <v>23580828</v>
      </c>
      <c r="U64" s="521">
        <f t="shared" si="17"/>
        <v>29252300</v>
      </c>
      <c r="V64" s="521">
        <f t="shared" si="17"/>
        <v>29252300</v>
      </c>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616">
        <f t="shared" si="1"/>
        <v>213600</v>
      </c>
      <c r="AT64" s="616">
        <f t="shared" si="1"/>
        <v>63755572</v>
      </c>
      <c r="AU64" s="616">
        <f t="shared" si="2"/>
        <v>0</v>
      </c>
      <c r="AW64" s="616">
        <f>+'[7]Metas'!S64:S79-S64</f>
        <v>-15008080</v>
      </c>
      <c r="AX64" s="616">
        <f>+'[7]Metas'!T64:T79-T64</f>
        <v>32674532</v>
      </c>
      <c r="AY64" s="616">
        <f>+'[7]Metas'!U64:U79-U64</f>
        <v>6411320</v>
      </c>
      <c r="AZ64" s="616">
        <f>+'[7]Metas'!V64:V79-V64</f>
        <v>4594180</v>
      </c>
      <c r="BE64" s="521">
        <f aca="true" t="shared" si="18" ref="BE64:BJ64">SUBTOTAL(9,BE16:BE56)</f>
        <v>87550000</v>
      </c>
      <c r="BF64" s="521">
        <f t="shared" si="18"/>
        <v>87550000</v>
      </c>
      <c r="BG64" s="521">
        <f t="shared" si="18"/>
        <v>87336400</v>
      </c>
      <c r="BH64" s="521">
        <f t="shared" si="18"/>
        <v>23580828</v>
      </c>
      <c r="BI64" s="521">
        <f t="shared" si="18"/>
        <v>29252300</v>
      </c>
      <c r="BJ64" s="521">
        <f t="shared" si="18"/>
        <v>29252300</v>
      </c>
    </row>
    <row r="65" spans="17:62" ht="15">
      <c r="Q65" s="523"/>
      <c r="R65" s="523"/>
      <c r="S65" s="523"/>
      <c r="T65" s="523"/>
      <c r="U65" s="523"/>
      <c r="V65" s="522"/>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446"/>
      <c r="BG65" s="446"/>
      <c r="BH65" s="446"/>
      <c r="BI65" s="446"/>
      <c r="BJ65" s="446"/>
    </row>
    <row r="66" spans="17:57" ht="15">
      <c r="Q66" s="616"/>
      <c r="R66" s="616"/>
      <c r="S66" s="616"/>
      <c r="T66" s="616"/>
      <c r="U66" s="616"/>
      <c r="V66" s="524"/>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row>
    <row r="67" spans="20:57" ht="15">
      <c r="T67" s="525"/>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row>
    <row r="68" spans="18:57" ht="15">
      <c r="R68" s="52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row>
    <row r="69" spans="28:57" ht="15">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row>
    <row r="70" spans="18:57" ht="15">
      <c r="R70" s="527"/>
      <c r="S70" s="528"/>
      <c r="T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row>
    <row r="71" spans="18:57" ht="15">
      <c r="R71" s="527"/>
      <c r="S71" s="528"/>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row>
    <row r="72" spans="18:57" ht="15">
      <c r="R72" s="527"/>
      <c r="S72" s="528"/>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row>
    <row r="73" spans="18:57" ht="15">
      <c r="R73" s="527"/>
      <c r="S73" s="528"/>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row>
    <row r="74" spans="18:57" ht="15">
      <c r="R74" s="527"/>
      <c r="S74" s="528"/>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row>
    <row r="75" spans="18:57" ht="15">
      <c r="R75" s="527"/>
      <c r="S75" s="528"/>
      <c r="U75" s="52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row>
    <row r="76" spans="18:57" ht="15">
      <c r="R76" s="527"/>
      <c r="S76" s="528"/>
      <c r="U76" s="526"/>
      <c r="V76" s="529"/>
      <c r="X76" s="530"/>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row>
    <row r="77" spans="18:57" ht="15">
      <c r="R77" s="527"/>
      <c r="U77" s="526"/>
      <c r="V77" s="529"/>
      <c r="X77" s="530"/>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row>
    <row r="78" spans="18:57" ht="15">
      <c r="R78" s="527"/>
      <c r="U78" s="526"/>
      <c r="V78" s="529"/>
      <c r="X78" s="530"/>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row>
    <row r="79" spans="18:57" ht="15">
      <c r="R79" s="527"/>
      <c r="U79" s="526"/>
      <c r="V79" s="529"/>
      <c r="X79" s="530"/>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row>
    <row r="80" spans="21:57" ht="15">
      <c r="U80" s="526"/>
      <c r="V80" s="529"/>
      <c r="X80" s="530"/>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row>
    <row r="81" spans="21:57" ht="15">
      <c r="U81" s="526"/>
      <c r="V81" s="529"/>
      <c r="X81" s="530"/>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row>
    <row r="82" spans="21:57" ht="15">
      <c r="U82" s="526"/>
      <c r="V82" s="529"/>
      <c r="W82" s="531"/>
      <c r="X82" s="530"/>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row>
    <row r="83" spans="21:57" ht="15">
      <c r="U83" s="526"/>
      <c r="V83" s="529"/>
      <c r="W83" s="531"/>
      <c r="X83" s="530"/>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row>
    <row r="84" spans="18:57" ht="15">
      <c r="R84" s="526"/>
      <c r="U84" s="526"/>
      <c r="V84" s="529"/>
      <c r="W84" s="531"/>
      <c r="X84" s="530"/>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row>
    <row r="85" spans="21:57" ht="15">
      <c r="U85" s="526"/>
      <c r="V85" s="529"/>
      <c r="W85" s="531"/>
      <c r="X85" s="530"/>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row>
    <row r="86" spans="21:57" ht="15">
      <c r="U86" s="526"/>
      <c r="V86" s="529"/>
      <c r="W86" s="531"/>
      <c r="X86" s="530"/>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row>
    <row r="87" spans="18:57" ht="15">
      <c r="R87" s="56"/>
      <c r="U87" s="526"/>
      <c r="V87" s="529"/>
      <c r="W87" s="531"/>
      <c r="X87" s="530"/>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row>
    <row r="88" spans="21:57" ht="15">
      <c r="U88" s="526"/>
      <c r="V88" s="529"/>
      <c r="W88" s="531"/>
      <c r="X88" s="530"/>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row>
    <row r="89" spans="21:57" ht="15">
      <c r="U89" s="526"/>
      <c r="V89" s="529"/>
      <c r="W89" s="531"/>
      <c r="X89" s="530"/>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row>
    <row r="90" spans="21:57" ht="15">
      <c r="U90" s="526"/>
      <c r="V90" s="529"/>
      <c r="W90" s="531"/>
      <c r="X90" s="530"/>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row>
    <row r="91" spans="21:57" ht="15">
      <c r="U91" s="526"/>
      <c r="V91" s="529"/>
      <c r="W91" s="531"/>
      <c r="X91" s="530"/>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row>
    <row r="92" spans="21:57" ht="15">
      <c r="U92" s="526"/>
      <c r="V92" s="529"/>
      <c r="W92" s="531"/>
      <c r="X92" s="530"/>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row>
    <row r="93" spans="21:57" ht="15">
      <c r="U93" s="526"/>
      <c r="V93" s="529"/>
      <c r="W93" s="531"/>
      <c r="X93" s="530"/>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row>
    <row r="94" spans="28:57" ht="15">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row>
    <row r="95" spans="18:57" ht="15">
      <c r="R95" s="56"/>
      <c r="U95" s="531"/>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row>
    <row r="96" spans="21:57" ht="15">
      <c r="U96" s="531"/>
      <c r="V96" s="529"/>
      <c r="W96" s="52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row>
    <row r="97" spans="21:57" ht="15">
      <c r="U97" s="531"/>
      <c r="V97" s="529"/>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row>
    <row r="98" spans="21:57" ht="15">
      <c r="U98" s="531"/>
      <c r="V98" s="529"/>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row>
    <row r="99" spans="21:57" ht="15">
      <c r="U99" s="531"/>
      <c r="V99" s="529"/>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row>
    <row r="100" spans="18:57" ht="15">
      <c r="R100" s="526"/>
      <c r="U100" s="531"/>
      <c r="V100" s="529"/>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row>
    <row r="101" spans="21:57" ht="15">
      <c r="U101" s="531"/>
      <c r="V101" s="529"/>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row>
    <row r="102" spans="21:57" ht="15">
      <c r="U102" s="526"/>
      <c r="V102" s="529"/>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row>
    <row r="103" spans="28:57" ht="15">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row>
    <row r="104" spans="18:57" ht="15">
      <c r="R104" s="5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row>
    <row r="105" spans="21:57" ht="15">
      <c r="U105" s="531"/>
      <c r="V105" s="529"/>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row>
    <row r="106" spans="21:57" ht="15">
      <c r="U106" s="531"/>
      <c r="V106" s="529"/>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row>
    <row r="107" spans="21:57" ht="15">
      <c r="U107" s="531"/>
      <c r="V107" s="529"/>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row>
    <row r="108" spans="21:57" ht="15">
      <c r="U108" s="531"/>
      <c r="V108" s="529"/>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row>
    <row r="109" spans="21:57" ht="15">
      <c r="U109" s="531"/>
      <c r="V109" s="529"/>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row>
    <row r="110" spans="21:57" ht="15">
      <c r="U110" s="531"/>
      <c r="V110" s="529"/>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row>
    <row r="111" spans="22:57" ht="15">
      <c r="V111" s="529"/>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row>
    <row r="112" spans="28:57" ht="15">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row>
    <row r="113" spans="18:57" ht="15">
      <c r="R113" s="5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row>
    <row r="114" spans="21:57" ht="15">
      <c r="U114" s="531"/>
      <c r="V114" s="529"/>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row>
    <row r="115" spans="21:57" ht="15">
      <c r="U115" s="531"/>
      <c r="V115" s="529"/>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row>
    <row r="116" spans="21:57" ht="15">
      <c r="U116" s="531"/>
      <c r="V116" s="529"/>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row>
    <row r="117" spans="21:57" ht="15">
      <c r="U117" s="531"/>
      <c r="V117" s="529"/>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row>
    <row r="118" spans="21:57" ht="15">
      <c r="U118" s="531"/>
      <c r="V118" s="529"/>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row>
    <row r="119" spans="21:57" ht="15">
      <c r="U119" s="531"/>
      <c r="V119" s="529"/>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row>
    <row r="120" spans="21:57" ht="15">
      <c r="U120" s="526"/>
      <c r="V120" s="529"/>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row>
    <row r="121" spans="28:57" ht="15">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row>
    <row r="122" spans="18:57" ht="15">
      <c r="R122" s="56"/>
      <c r="U122" s="531"/>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row>
    <row r="123" spans="21:57" ht="15">
      <c r="U123" s="531"/>
      <c r="V123" s="529"/>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row>
    <row r="124" spans="21:57" ht="15">
      <c r="U124" s="531"/>
      <c r="V124" s="529"/>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row>
    <row r="125" spans="21:57" ht="15">
      <c r="U125" s="531"/>
      <c r="V125" s="529"/>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row>
    <row r="126" spans="21:57" ht="15">
      <c r="U126" s="531"/>
      <c r="V126" s="529"/>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row>
    <row r="127" spans="21:57" ht="15">
      <c r="U127" s="531"/>
      <c r="V127" s="529"/>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row>
    <row r="128" spans="21:57" ht="15">
      <c r="U128" s="531"/>
      <c r="V128" s="529"/>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row>
    <row r="129" spans="21:57" ht="15">
      <c r="U129" s="531"/>
      <c r="V129" s="529"/>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row>
    <row r="130" spans="22:57" ht="15">
      <c r="V130" s="529"/>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row>
    <row r="131" spans="18:57" ht="15">
      <c r="R131" s="56"/>
      <c r="U131" s="531"/>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row>
    <row r="132" spans="18:22" ht="15">
      <c r="R132" s="526"/>
      <c r="U132" s="531"/>
      <c r="V132" s="529"/>
    </row>
    <row r="133" spans="21:22" ht="15">
      <c r="U133" s="531"/>
      <c r="V133" s="529"/>
    </row>
    <row r="134" spans="21:22" ht="15">
      <c r="U134" s="531"/>
      <c r="V134" s="529"/>
    </row>
    <row r="135" spans="21:22" ht="15">
      <c r="U135" s="531"/>
      <c r="V135" s="529"/>
    </row>
    <row r="136" spans="21:22" ht="15">
      <c r="U136" s="531"/>
      <c r="V136" s="529"/>
    </row>
    <row r="137" spans="21:22" ht="15">
      <c r="U137" s="531"/>
      <c r="V137" s="529"/>
    </row>
    <row r="138" spans="21:22" ht="15">
      <c r="U138" s="531"/>
      <c r="V138" s="529"/>
    </row>
    <row r="141" spans="18:21" ht="15">
      <c r="R141" s="56"/>
      <c r="U141" s="531"/>
    </row>
    <row r="142" spans="21:22" ht="15">
      <c r="U142" s="531"/>
      <c r="V142" s="526"/>
    </row>
    <row r="143" spans="21:22" ht="15">
      <c r="U143" s="531"/>
      <c r="V143" s="526"/>
    </row>
    <row r="144" spans="21:22" ht="15">
      <c r="U144" s="531"/>
      <c r="V144" s="526"/>
    </row>
    <row r="145" spans="21:22" ht="15">
      <c r="U145" s="531"/>
      <c r="V145" s="526"/>
    </row>
    <row r="146" spans="21:22" ht="15">
      <c r="U146" s="531"/>
      <c r="V146" s="526"/>
    </row>
    <row r="147" spans="21:22" ht="15">
      <c r="U147" s="531"/>
      <c r="V147" s="526"/>
    </row>
    <row r="148" spans="18:22" ht="15">
      <c r="R148" s="526"/>
      <c r="U148" s="531"/>
      <c r="V148" s="526"/>
    </row>
    <row r="150" ht="15">
      <c r="R150" s="526"/>
    </row>
    <row r="151" spans="18:21" ht="15">
      <c r="R151" s="56"/>
      <c r="U151" s="531"/>
    </row>
    <row r="152" spans="21:22" ht="15">
      <c r="U152" s="531"/>
      <c r="V152" s="526"/>
    </row>
    <row r="153" spans="21:22" ht="15">
      <c r="U153" s="531"/>
      <c r="V153" s="526"/>
    </row>
    <row r="154" spans="21:22" ht="15">
      <c r="U154" s="531"/>
      <c r="V154" s="526"/>
    </row>
    <row r="155" spans="21:22" ht="15">
      <c r="U155" s="531"/>
      <c r="V155" s="526"/>
    </row>
    <row r="156" spans="21:22" ht="15">
      <c r="U156" s="531"/>
      <c r="V156" s="526"/>
    </row>
    <row r="157" spans="21:22" ht="15">
      <c r="U157" s="531"/>
      <c r="V157" s="526"/>
    </row>
    <row r="158" spans="21:22" ht="15">
      <c r="U158" s="531"/>
      <c r="V158" s="526"/>
    </row>
    <row r="159" ht="15">
      <c r="U159" s="526"/>
    </row>
    <row r="160" spans="18:21" ht="15">
      <c r="R160" s="56"/>
      <c r="U160" s="531"/>
    </row>
    <row r="161" spans="21:22" ht="15">
      <c r="U161" s="531"/>
      <c r="V161" s="526"/>
    </row>
    <row r="162" spans="21:22" ht="15">
      <c r="U162" s="531"/>
      <c r="V162" s="526"/>
    </row>
    <row r="163" spans="21:22" ht="15">
      <c r="U163" s="531"/>
      <c r="V163" s="526"/>
    </row>
    <row r="164" spans="21:22" ht="15">
      <c r="U164" s="531"/>
      <c r="V164" s="526"/>
    </row>
    <row r="165" spans="21:22" ht="15">
      <c r="U165" s="531"/>
      <c r="V165" s="526"/>
    </row>
    <row r="166" spans="21:22" ht="15">
      <c r="U166" s="531"/>
      <c r="V166" s="526"/>
    </row>
    <row r="167" spans="21:22" ht="15">
      <c r="U167" s="531"/>
      <c r="V167" s="526"/>
    </row>
    <row r="169" spans="18:21" ht="15">
      <c r="R169" s="56"/>
      <c r="U169" s="531"/>
    </row>
    <row r="170" spans="21:22" ht="15">
      <c r="U170" s="531"/>
      <c r="V170" s="526"/>
    </row>
    <row r="171" spans="21:22" ht="15">
      <c r="U171" s="531"/>
      <c r="V171" s="526"/>
    </row>
    <row r="172" spans="21:22" ht="15">
      <c r="U172" s="531"/>
      <c r="V172" s="526"/>
    </row>
    <row r="173" spans="21:22" ht="15">
      <c r="U173" s="531"/>
      <c r="V173" s="526"/>
    </row>
    <row r="174" spans="21:22" ht="15">
      <c r="U174" s="531"/>
      <c r="V174" s="526"/>
    </row>
    <row r="175" spans="21:22" ht="15">
      <c r="U175" s="531"/>
      <c r="V175" s="526"/>
    </row>
    <row r="176" spans="21:22" ht="15">
      <c r="U176" s="531"/>
      <c r="V176" s="526"/>
    </row>
    <row r="177" spans="21:22" ht="15">
      <c r="U177" s="531"/>
      <c r="V177" s="526"/>
    </row>
    <row r="178" spans="21:22" ht="15">
      <c r="U178" s="531"/>
      <c r="V178" s="526"/>
    </row>
    <row r="179" spans="21:22" ht="15">
      <c r="U179" s="526"/>
      <c r="V179" s="529"/>
    </row>
    <row r="180" spans="21:22" ht="15">
      <c r="U180" s="526"/>
      <c r="V180" s="529"/>
    </row>
    <row r="181" spans="18:22" ht="15">
      <c r="R181" s="56"/>
      <c r="U181" s="526"/>
      <c r="V181" s="529"/>
    </row>
    <row r="182" spans="21:22" ht="15">
      <c r="U182" s="526"/>
      <c r="V182" s="529"/>
    </row>
    <row r="183" spans="21:22" ht="15">
      <c r="U183" s="526"/>
      <c r="V183" s="529"/>
    </row>
    <row r="184" spans="21:22" ht="15">
      <c r="U184" s="526"/>
      <c r="V184" s="529"/>
    </row>
    <row r="185" spans="21:22" ht="15">
      <c r="U185" s="526"/>
      <c r="V185" s="529"/>
    </row>
    <row r="186" spans="21:22" ht="15">
      <c r="U186" s="526"/>
      <c r="V186" s="529"/>
    </row>
    <row r="187" spans="21:22" ht="15">
      <c r="U187" s="531"/>
      <c r="V187" s="526"/>
    </row>
    <row r="188" spans="21:22" ht="15">
      <c r="U188" s="531"/>
      <c r="V188" s="526"/>
    </row>
    <row r="189" spans="21:22" ht="15">
      <c r="U189" s="526"/>
      <c r="V189" s="529"/>
    </row>
    <row r="190" spans="21:22" ht="15">
      <c r="U190" s="526"/>
      <c r="V190" s="529"/>
    </row>
    <row r="191" spans="18:22" ht="15">
      <c r="R191" s="56"/>
      <c r="U191" s="526"/>
      <c r="V191" s="529"/>
    </row>
    <row r="192" spans="21:22" ht="15">
      <c r="U192" s="526"/>
      <c r="V192" s="529"/>
    </row>
    <row r="193" spans="21:22" ht="15">
      <c r="U193" s="526"/>
      <c r="V193" s="529"/>
    </row>
    <row r="194" spans="21:22" ht="15">
      <c r="U194" s="526"/>
      <c r="V194" s="529"/>
    </row>
    <row r="195" spans="21:22" ht="15">
      <c r="U195" s="526"/>
      <c r="V195" s="529"/>
    </row>
    <row r="196" spans="21:22" ht="15">
      <c r="U196" s="526"/>
      <c r="V196" s="529"/>
    </row>
    <row r="197" spans="21:22" ht="15">
      <c r="U197" s="531"/>
      <c r="V197" s="526"/>
    </row>
    <row r="198" spans="21:22" ht="15">
      <c r="U198" s="531"/>
      <c r="V198" s="526"/>
    </row>
    <row r="201" spans="18:21" ht="15">
      <c r="R201" s="56"/>
      <c r="U201" s="531"/>
    </row>
    <row r="202" spans="18:22" ht="15">
      <c r="R202" s="56"/>
      <c r="U202" s="531"/>
      <c r="V202" s="526"/>
    </row>
    <row r="203" spans="18:22" ht="15">
      <c r="R203" s="56"/>
      <c r="U203" s="531"/>
      <c r="V203" s="526"/>
    </row>
    <row r="204" spans="18:22" ht="15">
      <c r="R204" s="56"/>
      <c r="U204" s="531"/>
      <c r="V204" s="526"/>
    </row>
    <row r="205" spans="18:22" ht="15">
      <c r="R205" s="56"/>
      <c r="U205" s="531"/>
      <c r="V205" s="526"/>
    </row>
    <row r="206" spans="18:22" ht="15">
      <c r="R206" s="56"/>
      <c r="U206" s="531"/>
      <c r="V206" s="526"/>
    </row>
    <row r="207" spans="18:22" ht="15">
      <c r="R207" s="56"/>
      <c r="U207" s="531"/>
      <c r="V207" s="526"/>
    </row>
    <row r="208" spans="18:22" ht="15">
      <c r="R208" s="56"/>
      <c r="U208" s="531"/>
      <c r="V208" s="526"/>
    </row>
    <row r="209" ht="15">
      <c r="R209" s="56"/>
    </row>
    <row r="210" ht="15">
      <c r="R210" s="56"/>
    </row>
    <row r="211" spans="18:21" ht="15">
      <c r="R211" s="56"/>
      <c r="U211" s="531"/>
    </row>
    <row r="212" spans="18:22" ht="15">
      <c r="R212" s="56"/>
      <c r="U212" s="531"/>
      <c r="V212" s="526"/>
    </row>
    <row r="213" spans="18:22" ht="15">
      <c r="R213" s="56"/>
      <c r="U213" s="531"/>
      <c r="V213" s="526"/>
    </row>
    <row r="214" spans="18:22" ht="15">
      <c r="R214" s="56"/>
      <c r="U214" s="531"/>
      <c r="V214" s="526"/>
    </row>
    <row r="215" spans="18:22" ht="15">
      <c r="R215" s="56"/>
      <c r="U215" s="531"/>
      <c r="V215" s="526"/>
    </row>
    <row r="216" spans="18:22" ht="15">
      <c r="R216" s="56"/>
      <c r="U216" s="531"/>
      <c r="V216" s="526"/>
    </row>
    <row r="217" spans="18:22" ht="15">
      <c r="R217" s="56"/>
      <c r="U217" s="531"/>
      <c r="V217" s="526"/>
    </row>
    <row r="218" spans="18:22" ht="15">
      <c r="R218" s="56"/>
      <c r="U218" s="531"/>
      <c r="V218" s="526"/>
    </row>
    <row r="219" ht="15">
      <c r="R219" s="56"/>
    </row>
    <row r="220" ht="15">
      <c r="R220" s="56"/>
    </row>
    <row r="221" spans="18:21" ht="15">
      <c r="R221" s="56"/>
      <c r="U221" s="531"/>
    </row>
    <row r="222" spans="18:22" ht="15">
      <c r="R222" s="56"/>
      <c r="U222" s="531"/>
      <c r="V222" s="526"/>
    </row>
    <row r="223" spans="18:22" ht="15">
      <c r="R223" s="56"/>
      <c r="U223" s="531"/>
      <c r="V223" s="526"/>
    </row>
    <row r="224" spans="18:22" ht="15">
      <c r="R224" s="56"/>
      <c r="U224" s="531"/>
      <c r="V224" s="526"/>
    </row>
    <row r="225" spans="18:22" ht="15">
      <c r="R225" s="56"/>
      <c r="U225" s="531"/>
      <c r="V225" s="526"/>
    </row>
    <row r="226" spans="18:22" ht="15">
      <c r="R226" s="56"/>
      <c r="U226" s="531"/>
      <c r="V226" s="526"/>
    </row>
    <row r="227" spans="18:22" ht="15">
      <c r="R227" s="56"/>
      <c r="U227" s="531"/>
      <c r="V227" s="526"/>
    </row>
    <row r="228" spans="18:22" ht="15">
      <c r="R228" s="56"/>
      <c r="U228" s="531"/>
      <c r="V228" s="526"/>
    </row>
    <row r="229" ht="15">
      <c r="R229" s="56"/>
    </row>
    <row r="230" ht="15">
      <c r="R230" s="56"/>
    </row>
    <row r="231" spans="18:21" ht="15">
      <c r="R231" s="56"/>
      <c r="U231" s="531"/>
    </row>
    <row r="232" spans="21:22" ht="15">
      <c r="U232" s="531"/>
      <c r="V232" s="526"/>
    </row>
    <row r="233" spans="21:22" ht="15">
      <c r="U233" s="531"/>
      <c r="V233" s="526"/>
    </row>
    <row r="234" spans="21:22" ht="15">
      <c r="U234" s="531"/>
      <c r="V234" s="526"/>
    </row>
    <row r="235" spans="21:22" ht="15">
      <c r="U235" s="531"/>
      <c r="V235" s="526"/>
    </row>
    <row r="236" spans="21:22" ht="15">
      <c r="U236" s="531"/>
      <c r="V236" s="526"/>
    </row>
    <row r="237" spans="21:22" ht="15">
      <c r="U237" s="531"/>
      <c r="V237" s="526"/>
    </row>
    <row r="238" spans="21:22" ht="15">
      <c r="U238" s="531"/>
      <c r="V238" s="526"/>
    </row>
    <row r="241" spans="18:21" ht="15">
      <c r="R241" s="56"/>
      <c r="U241" s="531"/>
    </row>
    <row r="242" spans="21:22" ht="15">
      <c r="U242" s="531"/>
      <c r="V242" s="526"/>
    </row>
    <row r="243" spans="21:22" ht="15">
      <c r="U243" s="531"/>
      <c r="V243" s="526"/>
    </row>
    <row r="244" spans="21:22" ht="15">
      <c r="U244" s="531"/>
      <c r="V244" s="526"/>
    </row>
    <row r="245" spans="21:22" ht="15">
      <c r="U245" s="531"/>
      <c r="V245" s="526"/>
    </row>
    <row r="246" spans="21:22" ht="15">
      <c r="U246" s="531"/>
      <c r="V246" s="526"/>
    </row>
    <row r="247" spans="21:22" ht="15">
      <c r="U247" s="531"/>
      <c r="V247" s="526"/>
    </row>
    <row r="248" spans="21:22" ht="15">
      <c r="U248" s="531"/>
      <c r="V248" s="526"/>
    </row>
    <row r="250" spans="18:21" ht="15">
      <c r="R250" s="56"/>
      <c r="U250" s="531"/>
    </row>
    <row r="251" spans="21:22" ht="15">
      <c r="U251" s="531"/>
      <c r="V251" s="526"/>
    </row>
    <row r="252" spans="21:22" ht="15">
      <c r="U252" s="531"/>
      <c r="V252" s="526"/>
    </row>
    <row r="253" spans="21:22" ht="15">
      <c r="U253" s="531"/>
      <c r="V253" s="526"/>
    </row>
    <row r="254" spans="21:22" ht="15">
      <c r="U254" s="531"/>
      <c r="V254" s="526"/>
    </row>
    <row r="255" spans="21:22" ht="15">
      <c r="U255" s="531"/>
      <c r="V255" s="526"/>
    </row>
    <row r="256" spans="21:22" ht="15">
      <c r="U256" s="531"/>
      <c r="V256" s="526"/>
    </row>
    <row r="257" spans="21:22" ht="15">
      <c r="U257" s="531"/>
      <c r="V257" s="526"/>
    </row>
    <row r="260" spans="18:21" ht="15">
      <c r="R260" s="56"/>
      <c r="U260" s="531"/>
    </row>
    <row r="261" spans="21:22" ht="15">
      <c r="U261" s="531"/>
      <c r="V261" s="526"/>
    </row>
    <row r="262" spans="21:22" ht="15">
      <c r="U262" s="531"/>
      <c r="V262" s="526"/>
    </row>
    <row r="263" spans="21:22" ht="15">
      <c r="U263" s="531"/>
      <c r="V263" s="526"/>
    </row>
    <row r="264" spans="21:22" ht="15">
      <c r="U264" s="531"/>
      <c r="V264" s="526"/>
    </row>
    <row r="265" spans="21:22" ht="15">
      <c r="U265" s="531"/>
      <c r="V265" s="526"/>
    </row>
    <row r="266" spans="21:22" ht="15">
      <c r="U266" s="531"/>
      <c r="V266" s="526"/>
    </row>
    <row r="267" spans="21:22" ht="15">
      <c r="U267" s="531"/>
      <c r="V267" s="526"/>
    </row>
    <row r="270" ht="15">
      <c r="U270" s="531"/>
    </row>
    <row r="271" spans="21:22" ht="15">
      <c r="U271" s="531"/>
      <c r="V271" s="526"/>
    </row>
    <row r="272" spans="21:22" ht="15">
      <c r="U272" s="531"/>
      <c r="V272" s="526"/>
    </row>
    <row r="273" spans="21:22" ht="15">
      <c r="U273" s="531"/>
      <c r="V273" s="526"/>
    </row>
    <row r="274" spans="21:22" ht="15">
      <c r="U274" s="531"/>
      <c r="V274" s="526"/>
    </row>
    <row r="275" spans="21:22" ht="15">
      <c r="U275" s="531"/>
      <c r="V275" s="526"/>
    </row>
    <row r="276" spans="21:22" ht="15">
      <c r="U276" s="531"/>
      <c r="V276" s="526"/>
    </row>
    <row r="277" spans="21:22" ht="15">
      <c r="U277" s="531"/>
      <c r="V277" s="526"/>
    </row>
    <row r="279" ht="15">
      <c r="U279" s="532"/>
    </row>
    <row r="280" spans="19:20" ht="15">
      <c r="S280" s="531"/>
      <c r="T280" s="532"/>
    </row>
    <row r="281" spans="19:20" ht="15">
      <c r="S281" s="531"/>
      <c r="T281" s="532"/>
    </row>
    <row r="282" spans="19:20" ht="15">
      <c r="S282" s="531"/>
      <c r="T282" s="532"/>
    </row>
    <row r="283" spans="19:20" ht="15">
      <c r="S283" s="531"/>
      <c r="T283" s="532"/>
    </row>
    <row r="284" spans="19:20" ht="15">
      <c r="S284" s="531"/>
      <c r="T284" s="532"/>
    </row>
    <row r="285" spans="19:20" ht="15">
      <c r="S285" s="531"/>
      <c r="T285" s="532"/>
    </row>
    <row r="286" ht="15">
      <c r="S286" s="531"/>
    </row>
    <row r="288" ht="15">
      <c r="U288" s="526"/>
    </row>
    <row r="290" ht="15">
      <c r="U290" s="532"/>
    </row>
    <row r="291" ht="15">
      <c r="U291" s="532"/>
    </row>
    <row r="292" ht="15">
      <c r="U292" s="532"/>
    </row>
    <row r="293" spans="21:22" ht="15">
      <c r="U293" s="532"/>
      <c r="V293" s="533"/>
    </row>
    <row r="294" spans="21:22" ht="15">
      <c r="U294" s="532"/>
      <c r="V294" s="533"/>
    </row>
    <row r="295" spans="21:22" ht="15">
      <c r="U295" s="532"/>
      <c r="V295" s="533"/>
    </row>
    <row r="296" spans="21:22" ht="15">
      <c r="U296" s="532"/>
      <c r="V296" s="533"/>
    </row>
    <row r="297" spans="21:22" ht="15">
      <c r="U297" s="532"/>
      <c r="V297" s="533"/>
    </row>
    <row r="298" spans="21:22" ht="15">
      <c r="U298" s="532"/>
      <c r="V298" s="533"/>
    </row>
    <row r="299" spans="21:22" ht="15">
      <c r="U299" s="532"/>
      <c r="V299" s="533"/>
    </row>
    <row r="301" ht="15">
      <c r="X301" s="532"/>
    </row>
    <row r="302" ht="15">
      <c r="X302" s="532"/>
    </row>
    <row r="303" ht="15">
      <c r="X303" s="532"/>
    </row>
    <row r="304" ht="15">
      <c r="X304" s="532"/>
    </row>
    <row r="305" ht="15">
      <c r="X305" s="532"/>
    </row>
    <row r="306" ht="15">
      <c r="X306" s="532"/>
    </row>
    <row r="307" ht="15">
      <c r="X307" s="532"/>
    </row>
    <row r="308" ht="15">
      <c r="X308" s="532"/>
    </row>
    <row r="309" ht="15">
      <c r="X309" s="532"/>
    </row>
    <row r="310" ht="15">
      <c r="X310" s="532"/>
    </row>
    <row r="311" ht="15">
      <c r="X311" s="532"/>
    </row>
    <row r="312" ht="15">
      <c r="X312" s="532"/>
    </row>
    <row r="313" ht="15.75" thickBot="1"/>
    <row r="314" spans="19:20" ht="15.75" thickBot="1">
      <c r="S314" s="534"/>
      <c r="T314" s="535"/>
    </row>
    <row r="315" spans="20:25" ht="15">
      <c r="T315" s="535"/>
      <c r="V315" s="526"/>
      <c r="X315" s="531"/>
      <c r="Y315" s="524"/>
    </row>
    <row r="316" spans="20:25" ht="15">
      <c r="T316" s="535"/>
      <c r="V316" s="526"/>
      <c r="X316" s="531"/>
      <c r="Y316" s="524"/>
    </row>
    <row r="317" spans="20:25" ht="15">
      <c r="T317" s="535"/>
      <c r="V317" s="526"/>
      <c r="X317" s="531"/>
      <c r="Y317" s="524"/>
    </row>
    <row r="318" spans="20:25" ht="15">
      <c r="T318" s="535"/>
      <c r="V318" s="526"/>
      <c r="X318" s="531"/>
      <c r="Y318" s="524"/>
    </row>
    <row r="319" spans="20:25" ht="15">
      <c r="T319" s="535"/>
      <c r="V319" s="526"/>
      <c r="X319" s="531"/>
      <c r="Y319" s="524"/>
    </row>
    <row r="320" spans="20:25" ht="15">
      <c r="T320" s="535"/>
      <c r="V320" s="526"/>
      <c r="X320" s="531"/>
      <c r="Y320" s="524"/>
    </row>
    <row r="321" ht="15">
      <c r="T321" s="535"/>
    </row>
    <row r="322" spans="24:25" ht="15">
      <c r="X322" s="524"/>
      <c r="Y322" s="524"/>
    </row>
    <row r="323" spans="24:25" ht="15">
      <c r="X323" s="524"/>
      <c r="Y323" s="524"/>
    </row>
    <row r="324" spans="24:25" ht="15">
      <c r="X324" s="524"/>
      <c r="Y324" s="524"/>
    </row>
    <row r="325" spans="20:25" ht="15">
      <c r="T325" s="535"/>
      <c r="U325" s="526"/>
      <c r="X325" s="524"/>
      <c r="Y325" s="524"/>
    </row>
    <row r="326" spans="20:25" ht="15">
      <c r="T326" s="535"/>
      <c r="U326" s="526"/>
      <c r="X326" s="524"/>
      <c r="Y326" s="524"/>
    </row>
    <row r="327" spans="20:25" ht="15">
      <c r="T327" s="535"/>
      <c r="U327" s="526"/>
      <c r="X327" s="524"/>
      <c r="Y327" s="524"/>
    </row>
    <row r="328" spans="20:21" ht="15">
      <c r="T328" s="535"/>
      <c r="U328" s="526"/>
    </row>
    <row r="329" spans="20:21" ht="15">
      <c r="T329" s="535"/>
      <c r="U329" s="526"/>
    </row>
    <row r="330" spans="20:23" ht="15">
      <c r="T330" s="535"/>
      <c r="U330" s="526"/>
      <c r="W330" s="404"/>
    </row>
    <row r="331" ht="15">
      <c r="T331" s="535"/>
    </row>
    <row r="337" ht="15">
      <c r="V337" s="404"/>
    </row>
    <row r="339" ht="15.75" thickBot="1"/>
    <row r="340" ht="15.75" thickBot="1">
      <c r="V340" s="536"/>
    </row>
  </sheetData>
  <sheetProtection password="C61F" sheet="1"/>
  <autoFilter ref="A15:AA63"/>
  <mergeCells count="92">
    <mergeCell ref="X48:X63"/>
    <mergeCell ref="Y48:Y63"/>
    <mergeCell ref="Z48:Z63"/>
    <mergeCell ref="AA48:AA63"/>
    <mergeCell ref="R48:R63"/>
    <mergeCell ref="S48:S63"/>
    <mergeCell ref="T48:T63"/>
    <mergeCell ref="U48:U63"/>
    <mergeCell ref="V48:V63"/>
    <mergeCell ref="W48:W63"/>
    <mergeCell ref="AA32:AA47"/>
    <mergeCell ref="H48:H63"/>
    <mergeCell ref="I48:I63"/>
    <mergeCell ref="J48:J63"/>
    <mergeCell ref="K48:K63"/>
    <mergeCell ref="M48:M63"/>
    <mergeCell ref="N48:N63"/>
    <mergeCell ref="O48:O63"/>
    <mergeCell ref="P48:P63"/>
    <mergeCell ref="Q48:Q63"/>
    <mergeCell ref="U32:U47"/>
    <mergeCell ref="V32:V47"/>
    <mergeCell ref="W32:W47"/>
    <mergeCell ref="X32:X47"/>
    <mergeCell ref="Y32:Y47"/>
    <mergeCell ref="Z32:Z47"/>
    <mergeCell ref="O32:O47"/>
    <mergeCell ref="P32:P47"/>
    <mergeCell ref="Q32:Q47"/>
    <mergeCell ref="R32:R47"/>
    <mergeCell ref="S32:S47"/>
    <mergeCell ref="T32:T47"/>
    <mergeCell ref="Y16:Y31"/>
    <mergeCell ref="Z16:Z31"/>
    <mergeCell ref="AA16:AA31"/>
    <mergeCell ref="H32:H47"/>
    <mergeCell ref="I32:I47"/>
    <mergeCell ref="J32:J47"/>
    <mergeCell ref="K32:K47"/>
    <mergeCell ref="L32:L47"/>
    <mergeCell ref="M32:M47"/>
    <mergeCell ref="N32:N47"/>
    <mergeCell ref="S16:S31"/>
    <mergeCell ref="T16:T31"/>
    <mergeCell ref="U16:U31"/>
    <mergeCell ref="V16:V31"/>
    <mergeCell ref="W16:W31"/>
    <mergeCell ref="X16:X31"/>
    <mergeCell ref="M16:M31"/>
    <mergeCell ref="N16:N31"/>
    <mergeCell ref="O16:O31"/>
    <mergeCell ref="P16:P31"/>
    <mergeCell ref="Q16:Q31"/>
    <mergeCell ref="R16:R31"/>
    <mergeCell ref="AO14:AP14"/>
    <mergeCell ref="AQ14:AR14"/>
    <mergeCell ref="BE14:BF14"/>
    <mergeCell ref="BG14:BH14"/>
    <mergeCell ref="BI14:BJ14"/>
    <mergeCell ref="H16:H31"/>
    <mergeCell ref="I16:I31"/>
    <mergeCell ref="J16:J31"/>
    <mergeCell ref="K16:K31"/>
    <mergeCell ref="L16:L31"/>
    <mergeCell ref="AC14:AD14"/>
    <mergeCell ref="AE14:AF14"/>
    <mergeCell ref="AG14:AH14"/>
    <mergeCell ref="AI14:AJ14"/>
    <mergeCell ref="AK14:AL14"/>
    <mergeCell ref="AM14:AN14"/>
    <mergeCell ref="W14:W15"/>
    <mergeCell ref="X14:X15"/>
    <mergeCell ref="Y14:Y15"/>
    <mergeCell ref="Z14:Z15"/>
    <mergeCell ref="AA14:AA15"/>
    <mergeCell ref="AB14:AB15"/>
    <mergeCell ref="AK1:AN8"/>
    <mergeCell ref="AO1:AQ8"/>
    <mergeCell ref="G14:G15"/>
    <mergeCell ref="H14:H15"/>
    <mergeCell ref="I14:I15"/>
    <mergeCell ref="J14:L14"/>
    <mergeCell ref="O14:P14"/>
    <mergeCell ref="Q14:R14"/>
    <mergeCell ref="S14:T14"/>
    <mergeCell ref="U14:V14"/>
    <mergeCell ref="A1:D8"/>
    <mergeCell ref="E1:N8"/>
    <mergeCell ref="O1:R8"/>
    <mergeCell ref="S1:U8"/>
    <mergeCell ref="W1:Y8"/>
    <mergeCell ref="Z1:AJ8"/>
  </mergeCells>
  <conditionalFormatting sqref="Q64:T64 BE64:BJ64">
    <cfRule type="cellIs" priority="4" dxfId="10" operator="notEqual" stopIfTrue="1">
      <formula>#REF!</formula>
    </cfRule>
  </conditionalFormatting>
  <conditionalFormatting sqref="Q16:V63">
    <cfRule type="cellIs" priority="3" dxfId="11" operator="notEqual" stopIfTrue="1">
      <formula>BE16</formula>
    </cfRule>
  </conditionalFormatting>
  <conditionalFormatting sqref="H16:H63">
    <cfRule type="containsText" priority="1" dxfId="1" operator="containsText" stopIfTrue="1" text="X">
      <formula>NOT(ISERROR(SEARCH("X",H16)))</formula>
    </cfRule>
    <cfRule type="containsText" priority="2" dxfId="0" operator="containsText" stopIfTrue="1" text="X">
      <formula>NOT(ISERROR(SEARCH("X",H16)))</formula>
    </cfRule>
  </conditionalFormatting>
  <dataValidations count="1">
    <dataValidation type="whole" allowBlank="1" showInputMessage="1" showErrorMessage="1" sqref="AC16:AR63">
      <formula1>0</formula1>
      <formula2>99999999999</formula2>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BF31"/>
  <sheetViews>
    <sheetView showGridLines="0" zoomScalePageLayoutView="0" workbookViewId="0" topLeftCell="C10">
      <selection activeCell="L13" sqref="L13"/>
    </sheetView>
  </sheetViews>
  <sheetFormatPr defaultColWidth="11.421875" defaultRowHeight="15" customHeight="1" zeroHeight="1" outlineLevelRow="2"/>
  <cols>
    <col min="1" max="1" width="3.7109375" style="5" hidden="1" customWidth="1"/>
    <col min="2" max="2" width="4.8515625" style="5" hidden="1" customWidth="1"/>
    <col min="3" max="3" width="10.140625" style="5" customWidth="1"/>
    <col min="4" max="4" width="27.7109375" style="5" customWidth="1"/>
    <col min="5" max="5" width="6.8515625" style="5" hidden="1" customWidth="1"/>
    <col min="6" max="6" width="38.00390625" style="5" customWidth="1"/>
    <col min="7" max="7" width="11.421875" style="5" customWidth="1"/>
    <col min="8" max="8" width="9.00390625" style="5" customWidth="1"/>
    <col min="9" max="9" width="10.28125" style="5" customWidth="1"/>
    <col min="10" max="10" width="20.57421875" style="5" customWidth="1"/>
    <col min="11" max="11" width="11.421875" style="5" customWidth="1"/>
    <col min="12" max="12" width="11.421875" style="366" customWidth="1"/>
    <col min="13" max="13" width="20.57421875" style="5" customWidth="1"/>
    <col min="14" max="14" width="21.00390625" style="5" customWidth="1"/>
    <col min="15" max="15" width="21.421875" style="5" customWidth="1"/>
    <col min="16" max="16" width="22.00390625" style="5" customWidth="1"/>
    <col min="17" max="17" width="26.28125" style="5" customWidth="1"/>
    <col min="18" max="18" width="24.421875" style="5" customWidth="1"/>
    <col min="19" max="20" width="50.7109375" style="5" customWidth="1"/>
    <col min="21" max="21" width="19.421875" style="5" customWidth="1"/>
    <col min="22" max="22" width="19.8515625" style="5" customWidth="1"/>
    <col min="23" max="23" width="9.7109375" style="5" customWidth="1"/>
    <col min="24" max="25" width="15.7109375" style="5" customWidth="1"/>
    <col min="26" max="26" width="9.7109375" style="5" customWidth="1"/>
    <col min="27" max="28" width="15.7109375" style="5" customWidth="1"/>
    <col min="29" max="29" width="9.7109375" style="5" customWidth="1"/>
    <col min="30" max="31" width="15.7109375" style="5" customWidth="1"/>
    <col min="32" max="32" width="9.7109375" style="5" customWidth="1"/>
    <col min="33" max="34" width="15.7109375" style="5" customWidth="1"/>
    <col min="35" max="35" width="9.7109375" style="5" customWidth="1"/>
    <col min="36" max="37" width="15.7109375" style="5" customWidth="1"/>
    <col min="38" max="38" width="9.7109375" style="5" customWidth="1"/>
    <col min="39" max="40" width="15.7109375" style="5" customWidth="1"/>
    <col min="41" max="41" width="9.7109375" style="5" customWidth="1"/>
    <col min="42" max="43" width="15.7109375" style="5" customWidth="1"/>
    <col min="44" max="44" width="9.7109375" style="5" customWidth="1"/>
    <col min="45" max="53" width="11.421875" style="5" customWidth="1"/>
    <col min="54" max="54" width="5.421875" style="5" customWidth="1"/>
    <col min="55" max="16384" width="11.421875" style="5" customWidth="1"/>
  </cols>
  <sheetData>
    <row r="1" spans="1:51" s="244" customFormat="1" ht="14.25" customHeight="1">
      <c r="A1" s="237"/>
      <c r="B1" s="238"/>
      <c r="C1" s="240"/>
      <c r="D1" s="241" t="s">
        <v>244</v>
      </c>
      <c r="E1" s="242"/>
      <c r="F1" s="242"/>
      <c r="G1" s="242"/>
      <c r="H1" s="242"/>
      <c r="I1" s="243"/>
      <c r="J1" s="234" t="s">
        <v>190</v>
      </c>
      <c r="K1" s="235"/>
      <c r="L1" s="235"/>
      <c r="M1" s="236"/>
      <c r="N1" s="241"/>
      <c r="O1" s="243"/>
      <c r="P1" s="241"/>
      <c r="Q1" s="242"/>
      <c r="R1" s="243"/>
      <c r="S1" s="258" t="s">
        <v>245</v>
      </c>
      <c r="T1" s="259"/>
      <c r="U1" s="259"/>
      <c r="V1" s="259"/>
      <c r="W1" s="259"/>
      <c r="X1" s="259"/>
      <c r="Y1" s="259"/>
      <c r="Z1" s="259"/>
      <c r="AA1" s="260"/>
      <c r="AB1" s="234" t="s">
        <v>190</v>
      </c>
      <c r="AC1" s="235"/>
      <c r="AD1" s="235"/>
      <c r="AE1" s="236"/>
      <c r="AF1" s="363"/>
      <c r="AG1" s="363"/>
      <c r="AH1" s="241"/>
      <c r="AI1" s="242"/>
      <c r="AJ1" s="243"/>
      <c r="AK1" s="258" t="s">
        <v>246</v>
      </c>
      <c r="AL1" s="259"/>
      <c r="AM1" s="259"/>
      <c r="AN1" s="259"/>
      <c r="AO1" s="259"/>
      <c r="AP1" s="259"/>
      <c r="AQ1" s="259"/>
      <c r="AR1" s="260"/>
      <c r="AS1" s="234" t="s">
        <v>190</v>
      </c>
      <c r="AT1" s="235"/>
      <c r="AU1" s="235"/>
      <c r="AV1" s="236"/>
      <c r="AW1" s="237"/>
      <c r="AX1" s="238"/>
      <c r="AY1" s="240"/>
    </row>
    <row r="2" spans="1:51" s="244" customFormat="1" ht="15" customHeight="1">
      <c r="A2" s="254"/>
      <c r="B2" s="255"/>
      <c r="C2" s="257"/>
      <c r="D2" s="258"/>
      <c r="E2" s="259"/>
      <c r="F2" s="259"/>
      <c r="G2" s="259"/>
      <c r="H2" s="259"/>
      <c r="I2" s="260"/>
      <c r="J2" s="251"/>
      <c r="K2" s="252"/>
      <c r="L2" s="252"/>
      <c r="M2" s="253"/>
      <c r="N2" s="258"/>
      <c r="O2" s="260"/>
      <c r="P2" s="258"/>
      <c r="Q2" s="259"/>
      <c r="R2" s="260"/>
      <c r="S2" s="258"/>
      <c r="T2" s="259"/>
      <c r="U2" s="259"/>
      <c r="V2" s="259"/>
      <c r="W2" s="259"/>
      <c r="X2" s="259"/>
      <c r="Y2" s="259"/>
      <c r="Z2" s="259"/>
      <c r="AA2" s="260"/>
      <c r="AB2" s="251"/>
      <c r="AC2" s="252"/>
      <c r="AD2" s="252"/>
      <c r="AE2" s="253"/>
      <c r="AF2" s="364"/>
      <c r="AG2" s="364"/>
      <c r="AH2" s="258"/>
      <c r="AI2" s="259"/>
      <c r="AJ2" s="260"/>
      <c r="AK2" s="258"/>
      <c r="AL2" s="259"/>
      <c r="AM2" s="259"/>
      <c r="AN2" s="259"/>
      <c r="AO2" s="259"/>
      <c r="AP2" s="259"/>
      <c r="AQ2" s="259"/>
      <c r="AR2" s="260"/>
      <c r="AS2" s="251"/>
      <c r="AT2" s="252"/>
      <c r="AU2" s="252"/>
      <c r="AV2" s="253"/>
      <c r="AW2" s="254"/>
      <c r="AX2" s="255"/>
      <c r="AY2" s="257"/>
    </row>
    <row r="3" spans="1:51" s="244" customFormat="1" ht="15" customHeight="1">
      <c r="A3" s="254"/>
      <c r="B3" s="255"/>
      <c r="C3" s="257"/>
      <c r="D3" s="258"/>
      <c r="E3" s="259"/>
      <c r="F3" s="259"/>
      <c r="G3" s="259"/>
      <c r="H3" s="259"/>
      <c r="I3" s="260"/>
      <c r="J3" s="251"/>
      <c r="K3" s="252"/>
      <c r="L3" s="252"/>
      <c r="M3" s="253"/>
      <c r="N3" s="258"/>
      <c r="O3" s="260"/>
      <c r="P3" s="258"/>
      <c r="Q3" s="259"/>
      <c r="R3" s="260"/>
      <c r="S3" s="258"/>
      <c r="T3" s="259"/>
      <c r="U3" s="259"/>
      <c r="V3" s="259"/>
      <c r="W3" s="259"/>
      <c r="X3" s="259"/>
      <c r="Y3" s="259"/>
      <c r="Z3" s="259"/>
      <c r="AA3" s="260"/>
      <c r="AB3" s="251"/>
      <c r="AC3" s="252"/>
      <c r="AD3" s="252"/>
      <c r="AE3" s="253"/>
      <c r="AF3" s="364"/>
      <c r="AG3" s="364"/>
      <c r="AH3" s="258"/>
      <c r="AI3" s="259"/>
      <c r="AJ3" s="260"/>
      <c r="AK3" s="258"/>
      <c r="AL3" s="259"/>
      <c r="AM3" s="259"/>
      <c r="AN3" s="259"/>
      <c r="AO3" s="259"/>
      <c r="AP3" s="259"/>
      <c r="AQ3" s="259"/>
      <c r="AR3" s="260"/>
      <c r="AS3" s="251"/>
      <c r="AT3" s="252"/>
      <c r="AU3" s="252"/>
      <c r="AV3" s="253"/>
      <c r="AW3" s="254"/>
      <c r="AX3" s="255"/>
      <c r="AY3" s="257"/>
    </row>
    <row r="4" spans="1:51" s="244" customFormat="1" ht="15" customHeight="1">
      <c r="A4" s="254"/>
      <c r="B4" s="255"/>
      <c r="C4" s="257"/>
      <c r="D4" s="258"/>
      <c r="E4" s="259"/>
      <c r="F4" s="259"/>
      <c r="G4" s="259"/>
      <c r="H4" s="259"/>
      <c r="I4" s="260"/>
      <c r="J4" s="251"/>
      <c r="K4" s="252"/>
      <c r="L4" s="252"/>
      <c r="M4" s="253"/>
      <c r="N4" s="258"/>
      <c r="O4" s="260"/>
      <c r="P4" s="258"/>
      <c r="Q4" s="259"/>
      <c r="R4" s="260"/>
      <c r="S4" s="258"/>
      <c r="T4" s="259"/>
      <c r="U4" s="259"/>
      <c r="V4" s="259"/>
      <c r="W4" s="259"/>
      <c r="X4" s="259"/>
      <c r="Y4" s="259"/>
      <c r="Z4" s="259"/>
      <c r="AA4" s="260"/>
      <c r="AB4" s="251"/>
      <c r="AC4" s="252"/>
      <c r="AD4" s="252"/>
      <c r="AE4" s="253"/>
      <c r="AF4" s="364"/>
      <c r="AG4" s="364"/>
      <c r="AH4" s="258"/>
      <c r="AI4" s="259"/>
      <c r="AJ4" s="260"/>
      <c r="AK4" s="258"/>
      <c r="AL4" s="259"/>
      <c r="AM4" s="259"/>
      <c r="AN4" s="259"/>
      <c r="AO4" s="259"/>
      <c r="AP4" s="259"/>
      <c r="AQ4" s="259"/>
      <c r="AR4" s="260"/>
      <c r="AS4" s="251"/>
      <c r="AT4" s="252"/>
      <c r="AU4" s="252"/>
      <c r="AV4" s="253"/>
      <c r="AW4" s="254"/>
      <c r="AX4" s="255"/>
      <c r="AY4" s="257"/>
    </row>
    <row r="5" spans="1:51" s="244" customFormat="1" ht="15" customHeight="1">
      <c r="A5" s="254"/>
      <c r="B5" s="255"/>
      <c r="C5" s="257"/>
      <c r="D5" s="258"/>
      <c r="E5" s="259"/>
      <c r="F5" s="259"/>
      <c r="G5" s="259"/>
      <c r="H5" s="259"/>
      <c r="I5" s="260"/>
      <c r="J5" s="251"/>
      <c r="K5" s="252"/>
      <c r="L5" s="252"/>
      <c r="M5" s="253"/>
      <c r="N5" s="258"/>
      <c r="O5" s="260"/>
      <c r="P5" s="258"/>
      <c r="Q5" s="259"/>
      <c r="R5" s="260"/>
      <c r="S5" s="258"/>
      <c r="T5" s="259"/>
      <c r="U5" s="259"/>
      <c r="V5" s="259"/>
      <c r="W5" s="259"/>
      <c r="X5" s="259"/>
      <c r="Y5" s="259"/>
      <c r="Z5" s="259"/>
      <c r="AA5" s="260"/>
      <c r="AB5" s="251"/>
      <c r="AC5" s="252"/>
      <c r="AD5" s="252"/>
      <c r="AE5" s="253"/>
      <c r="AF5" s="364"/>
      <c r="AG5" s="364"/>
      <c r="AH5" s="258"/>
      <c r="AI5" s="259"/>
      <c r="AJ5" s="260"/>
      <c r="AK5" s="258"/>
      <c r="AL5" s="259"/>
      <c r="AM5" s="259"/>
      <c r="AN5" s="259"/>
      <c r="AO5" s="259"/>
      <c r="AP5" s="259"/>
      <c r="AQ5" s="259"/>
      <c r="AR5" s="260"/>
      <c r="AS5" s="251"/>
      <c r="AT5" s="252"/>
      <c r="AU5" s="252"/>
      <c r="AV5" s="253"/>
      <c r="AW5" s="254"/>
      <c r="AX5" s="255"/>
      <c r="AY5" s="257"/>
    </row>
    <row r="6" spans="1:51" s="244" customFormat="1" ht="15" customHeight="1">
      <c r="A6" s="254"/>
      <c r="B6" s="255"/>
      <c r="C6" s="257"/>
      <c r="D6" s="258"/>
      <c r="E6" s="259"/>
      <c r="F6" s="259"/>
      <c r="G6" s="259"/>
      <c r="H6" s="259"/>
      <c r="I6" s="260"/>
      <c r="J6" s="251"/>
      <c r="K6" s="252"/>
      <c r="L6" s="252"/>
      <c r="M6" s="253"/>
      <c r="N6" s="258"/>
      <c r="O6" s="260"/>
      <c r="P6" s="258"/>
      <c r="Q6" s="259"/>
      <c r="R6" s="260"/>
      <c r="S6" s="258"/>
      <c r="T6" s="259"/>
      <c r="U6" s="259"/>
      <c r="V6" s="259"/>
      <c r="W6" s="259"/>
      <c r="X6" s="259"/>
      <c r="Y6" s="259"/>
      <c r="Z6" s="259"/>
      <c r="AA6" s="260"/>
      <c r="AB6" s="251"/>
      <c r="AC6" s="252"/>
      <c r="AD6" s="252"/>
      <c r="AE6" s="253"/>
      <c r="AF6" s="364"/>
      <c r="AG6" s="364"/>
      <c r="AH6" s="258"/>
      <c r="AI6" s="259"/>
      <c r="AJ6" s="260"/>
      <c r="AK6" s="258"/>
      <c r="AL6" s="259"/>
      <c r="AM6" s="259"/>
      <c r="AN6" s="259"/>
      <c r="AO6" s="259"/>
      <c r="AP6" s="259"/>
      <c r="AQ6" s="259"/>
      <c r="AR6" s="260"/>
      <c r="AS6" s="251"/>
      <c r="AT6" s="252"/>
      <c r="AU6" s="252"/>
      <c r="AV6" s="253"/>
      <c r="AW6" s="254"/>
      <c r="AX6" s="255"/>
      <c r="AY6" s="257"/>
    </row>
    <row r="7" spans="1:51" s="244" customFormat="1" ht="15" customHeight="1">
      <c r="A7" s="254"/>
      <c r="B7" s="255"/>
      <c r="C7" s="257"/>
      <c r="D7" s="258"/>
      <c r="E7" s="259"/>
      <c r="F7" s="259"/>
      <c r="G7" s="259"/>
      <c r="H7" s="259"/>
      <c r="I7" s="260"/>
      <c r="J7" s="251"/>
      <c r="K7" s="252"/>
      <c r="L7" s="252"/>
      <c r="M7" s="253"/>
      <c r="N7" s="258"/>
      <c r="O7" s="260"/>
      <c r="P7" s="258"/>
      <c r="Q7" s="259"/>
      <c r="R7" s="260"/>
      <c r="S7" s="258"/>
      <c r="T7" s="259"/>
      <c r="U7" s="259"/>
      <c r="V7" s="259"/>
      <c r="W7" s="259"/>
      <c r="X7" s="259"/>
      <c r="Y7" s="259"/>
      <c r="Z7" s="259"/>
      <c r="AA7" s="260"/>
      <c r="AB7" s="251"/>
      <c r="AC7" s="252"/>
      <c r="AD7" s="252"/>
      <c r="AE7" s="253"/>
      <c r="AF7" s="364"/>
      <c r="AG7" s="364"/>
      <c r="AH7" s="258"/>
      <c r="AI7" s="259"/>
      <c r="AJ7" s="260"/>
      <c r="AK7" s="258"/>
      <c r="AL7" s="259"/>
      <c r="AM7" s="259"/>
      <c r="AN7" s="259"/>
      <c r="AO7" s="259"/>
      <c r="AP7" s="259"/>
      <c r="AQ7" s="259"/>
      <c r="AR7" s="260"/>
      <c r="AS7" s="251"/>
      <c r="AT7" s="252"/>
      <c r="AU7" s="252"/>
      <c r="AV7" s="253"/>
      <c r="AW7" s="254"/>
      <c r="AX7" s="255"/>
      <c r="AY7" s="257"/>
    </row>
    <row r="8" spans="1:51" s="244" customFormat="1" ht="21.75" customHeight="1" thickBot="1">
      <c r="A8" s="270"/>
      <c r="B8" s="271"/>
      <c r="C8" s="273"/>
      <c r="D8" s="274"/>
      <c r="E8" s="275"/>
      <c r="F8" s="275"/>
      <c r="G8" s="275"/>
      <c r="H8" s="275"/>
      <c r="I8" s="276"/>
      <c r="J8" s="267"/>
      <c r="K8" s="268"/>
      <c r="L8" s="268"/>
      <c r="M8" s="269"/>
      <c r="N8" s="274"/>
      <c r="O8" s="276"/>
      <c r="P8" s="274"/>
      <c r="Q8" s="275"/>
      <c r="R8" s="276"/>
      <c r="S8" s="274"/>
      <c r="T8" s="275"/>
      <c r="U8" s="275"/>
      <c r="V8" s="275"/>
      <c r="W8" s="275"/>
      <c r="X8" s="275"/>
      <c r="Y8" s="275"/>
      <c r="Z8" s="275"/>
      <c r="AA8" s="276"/>
      <c r="AB8" s="267"/>
      <c r="AC8" s="268"/>
      <c r="AD8" s="268"/>
      <c r="AE8" s="269"/>
      <c r="AF8" s="365"/>
      <c r="AG8" s="365"/>
      <c r="AH8" s="274"/>
      <c r="AI8" s="275"/>
      <c r="AJ8" s="276"/>
      <c r="AK8" s="274"/>
      <c r="AL8" s="275"/>
      <c r="AM8" s="275"/>
      <c r="AN8" s="275"/>
      <c r="AO8" s="275"/>
      <c r="AP8" s="275"/>
      <c r="AQ8" s="275"/>
      <c r="AR8" s="276"/>
      <c r="AS8" s="267"/>
      <c r="AT8" s="268"/>
      <c r="AU8" s="268"/>
      <c r="AV8" s="269"/>
      <c r="AW8" s="270"/>
      <c r="AX8" s="271"/>
      <c r="AY8" s="273"/>
    </row>
    <row r="9" ht="15"/>
    <row r="10" spans="6:9" ht="25.5">
      <c r="F10" s="2" t="s">
        <v>3</v>
      </c>
      <c r="G10" s="2"/>
      <c r="H10" s="2"/>
      <c r="I10" s="2"/>
    </row>
    <row r="11" spans="2:50" ht="38.25" customHeight="1">
      <c r="B11" s="367" t="s">
        <v>247</v>
      </c>
      <c r="C11" s="368" t="s">
        <v>248</v>
      </c>
      <c r="D11" s="369"/>
      <c r="E11" s="370" t="s">
        <v>249</v>
      </c>
      <c r="F11" s="370" t="s">
        <v>8</v>
      </c>
      <c r="G11" s="222" t="s">
        <v>18</v>
      </c>
      <c r="H11" s="206"/>
      <c r="I11" s="207"/>
      <c r="J11" s="371"/>
      <c r="K11" s="205" t="s">
        <v>0</v>
      </c>
      <c r="L11" s="205"/>
      <c r="M11" s="205" t="s">
        <v>145</v>
      </c>
      <c r="N11" s="205"/>
      <c r="O11" s="205" t="s">
        <v>146</v>
      </c>
      <c r="P11" s="205"/>
      <c r="Q11" s="205" t="s">
        <v>140</v>
      </c>
      <c r="R11" s="205"/>
      <c r="S11" s="196" t="s">
        <v>1</v>
      </c>
      <c r="T11" s="196" t="s">
        <v>2</v>
      </c>
      <c r="U11" s="372" t="s">
        <v>406</v>
      </c>
      <c r="V11" s="373"/>
      <c r="W11" s="374"/>
      <c r="X11" s="370" t="s">
        <v>407</v>
      </c>
      <c r="Y11" s="370"/>
      <c r="Z11" s="370"/>
      <c r="AA11" s="370" t="s">
        <v>408</v>
      </c>
      <c r="AB11" s="370"/>
      <c r="AC11" s="370"/>
      <c r="AD11" s="370" t="s">
        <v>409</v>
      </c>
      <c r="AE11" s="370"/>
      <c r="AF11" s="370"/>
      <c r="AG11" s="222" t="s">
        <v>252</v>
      </c>
      <c r="AH11" s="206"/>
      <c r="AI11" s="207"/>
      <c r="AJ11" s="222" t="s">
        <v>253</v>
      </c>
      <c r="AK11" s="206"/>
      <c r="AL11" s="207"/>
      <c r="AM11" s="222" t="s">
        <v>254</v>
      </c>
      <c r="AN11" s="206"/>
      <c r="AO11" s="207"/>
      <c r="AP11" s="222" t="s">
        <v>255</v>
      </c>
      <c r="AQ11" s="206"/>
      <c r="AR11" s="207"/>
      <c r="AS11" s="222" t="s">
        <v>256</v>
      </c>
      <c r="AT11" s="206"/>
      <c r="AU11" s="207"/>
      <c r="AV11" s="222" t="s">
        <v>257</v>
      </c>
      <c r="AW11" s="206"/>
      <c r="AX11" s="207"/>
    </row>
    <row r="12" spans="1:50" ht="67.5">
      <c r="A12" s="1" t="s">
        <v>212</v>
      </c>
      <c r="B12" s="375"/>
      <c r="C12" s="376"/>
      <c r="D12" s="369" t="s">
        <v>9</v>
      </c>
      <c r="E12" s="370"/>
      <c r="F12" s="370"/>
      <c r="G12" s="4" t="s">
        <v>4</v>
      </c>
      <c r="H12" s="4" t="s">
        <v>5</v>
      </c>
      <c r="I12" s="4" t="s">
        <v>6</v>
      </c>
      <c r="J12" s="4" t="s">
        <v>7</v>
      </c>
      <c r="K12" s="3" t="s">
        <v>115</v>
      </c>
      <c r="L12" s="3" t="s">
        <v>116</v>
      </c>
      <c r="M12" s="377" t="s">
        <v>149</v>
      </c>
      <c r="N12" s="377" t="s">
        <v>150</v>
      </c>
      <c r="O12" s="3" t="s">
        <v>151</v>
      </c>
      <c r="P12" s="3" t="s">
        <v>152</v>
      </c>
      <c r="Q12" s="3" t="s">
        <v>147</v>
      </c>
      <c r="R12" s="3" t="s">
        <v>152</v>
      </c>
      <c r="S12" s="196"/>
      <c r="T12" s="196"/>
      <c r="U12" s="3" t="s">
        <v>259</v>
      </c>
      <c r="V12" s="3" t="s">
        <v>260</v>
      </c>
      <c r="W12" s="3" t="s">
        <v>261</v>
      </c>
      <c r="X12" s="3" t="s">
        <v>259</v>
      </c>
      <c r="Y12" s="3" t="s">
        <v>260</v>
      </c>
      <c r="Z12" s="3" t="s">
        <v>261</v>
      </c>
      <c r="AA12" s="3" t="s">
        <v>259</v>
      </c>
      <c r="AB12" s="3" t="s">
        <v>260</v>
      </c>
      <c r="AC12" s="3" t="s">
        <v>261</v>
      </c>
      <c r="AD12" s="3" t="s">
        <v>259</v>
      </c>
      <c r="AE12" s="3" t="s">
        <v>260</v>
      </c>
      <c r="AF12" s="3" t="s">
        <v>261</v>
      </c>
      <c r="AG12" s="3" t="s">
        <v>259</v>
      </c>
      <c r="AH12" s="3" t="s">
        <v>260</v>
      </c>
      <c r="AI12" s="3" t="s">
        <v>261</v>
      </c>
      <c r="AJ12" s="3" t="s">
        <v>259</v>
      </c>
      <c r="AK12" s="3" t="s">
        <v>260</v>
      </c>
      <c r="AL12" s="3" t="s">
        <v>261</v>
      </c>
      <c r="AM12" s="3" t="s">
        <v>259</v>
      </c>
      <c r="AN12" s="3" t="s">
        <v>260</v>
      </c>
      <c r="AO12" s="3" t="s">
        <v>261</v>
      </c>
      <c r="AP12" s="3" t="s">
        <v>259</v>
      </c>
      <c r="AQ12" s="3" t="s">
        <v>260</v>
      </c>
      <c r="AR12" s="3" t="s">
        <v>261</v>
      </c>
      <c r="AS12" s="3" t="s">
        <v>259</v>
      </c>
      <c r="AT12" s="3" t="s">
        <v>260</v>
      </c>
      <c r="AU12" s="3" t="s">
        <v>261</v>
      </c>
      <c r="AV12" s="3" t="s">
        <v>259</v>
      </c>
      <c r="AW12" s="3" t="s">
        <v>260</v>
      </c>
      <c r="AX12" s="3" t="s">
        <v>261</v>
      </c>
    </row>
    <row r="13" spans="1:58" s="6" customFormat="1" ht="57" customHeight="1" outlineLevel="2">
      <c r="A13" s="378" t="s">
        <v>216</v>
      </c>
      <c r="B13" s="378" t="s">
        <v>217</v>
      </c>
      <c r="C13" s="379">
        <v>879</v>
      </c>
      <c r="D13" s="380" t="s">
        <v>109</v>
      </c>
      <c r="E13" s="379"/>
      <c r="F13" s="380" t="s">
        <v>129</v>
      </c>
      <c r="G13" s="631"/>
      <c r="H13" s="381" t="s">
        <v>26</v>
      </c>
      <c r="I13" s="631"/>
      <c r="J13" s="380" t="s">
        <v>132</v>
      </c>
      <c r="K13" s="632">
        <v>0.45</v>
      </c>
      <c r="L13" s="633">
        <v>0.09</v>
      </c>
      <c r="M13" s="634">
        <v>0</v>
      </c>
      <c r="N13" s="635"/>
      <c r="O13" s="387"/>
      <c r="P13" s="387"/>
      <c r="Q13" s="636"/>
      <c r="R13" s="387"/>
      <c r="S13" s="637" t="s">
        <v>410</v>
      </c>
      <c r="T13" s="388" t="s">
        <v>402</v>
      </c>
      <c r="U13" s="635"/>
      <c r="V13" s="387"/>
      <c r="W13" s="390">
        <f>IF(U13=0,"",V13/U13)</f>
      </c>
      <c r="X13" s="391"/>
      <c r="Y13" s="391"/>
      <c r="Z13" s="390">
        <f>IF(X13=0,"",Y13/X13)</f>
      </c>
      <c r="AA13" s="391"/>
      <c r="AB13" s="391"/>
      <c r="AC13" s="390">
        <f>IF(AA13=0,"",AB13/AA13)</f>
      </c>
      <c r="AD13" s="391"/>
      <c r="AE13" s="391"/>
      <c r="AF13" s="390">
        <f>IF(AD13=0,"",AE13/AD13)</f>
      </c>
      <c r="AG13" s="391"/>
      <c r="AH13" s="391"/>
      <c r="AI13" s="390">
        <f>IF(AG13=0,"",AH13/AG13)</f>
      </c>
      <c r="AJ13" s="391"/>
      <c r="AK13" s="391"/>
      <c r="AL13" s="390">
        <f>IF(AJ13=0,"",AK13/AJ13)</f>
      </c>
      <c r="AM13" s="391"/>
      <c r="AN13" s="391"/>
      <c r="AO13" s="390">
        <f>IF(AM13=0,"",AN13/AM13)</f>
      </c>
      <c r="AP13" s="391"/>
      <c r="AQ13" s="391"/>
      <c r="AR13" s="390">
        <f>IF(AP13=0,"",AQ13/AP13)</f>
      </c>
      <c r="AS13" s="391"/>
      <c r="AT13" s="391"/>
      <c r="AU13" s="390">
        <f>IF(AS13=0,"",AT13/AS13)</f>
      </c>
      <c r="AV13" s="391"/>
      <c r="AW13" s="391"/>
      <c r="AX13" s="390">
        <f>IF(AV13=0,"",AW13/AV13)</f>
      </c>
      <c r="AY13" s="392">
        <f>+N13-O13</f>
        <v>0</v>
      </c>
      <c r="AZ13" s="392">
        <f>+O13-P13</f>
        <v>0</v>
      </c>
      <c r="BA13" s="392">
        <f>+Q13-R13</f>
        <v>0</v>
      </c>
      <c r="BC13" s="392">
        <f>+'[7]Actividades'!O13-O13</f>
        <v>0</v>
      </c>
      <c r="BD13" s="392">
        <f>+'[7]Actividades'!P13-P13</f>
        <v>0</v>
      </c>
      <c r="BE13" s="392">
        <f>+'[7]Actividades'!Q13-Q13</f>
        <v>0</v>
      </c>
      <c r="BF13" s="392">
        <f>+'[7]Actividades'!R13-R13</f>
        <v>0</v>
      </c>
    </row>
    <row r="14" spans="1:58" s="568" customFormat="1" ht="15" outlineLevel="2">
      <c r="A14" s="557"/>
      <c r="B14" s="557"/>
      <c r="C14" s="558"/>
      <c r="D14" s="582"/>
      <c r="E14" s="558"/>
      <c r="F14" s="582"/>
      <c r="G14" s="559"/>
      <c r="H14" s="638"/>
      <c r="I14" s="559"/>
      <c r="J14" s="582"/>
      <c r="K14" s="639"/>
      <c r="L14" s="639"/>
      <c r="M14" s="566">
        <f aca="true" t="shared" si="0" ref="M14:R14">+M13</f>
        <v>0</v>
      </c>
      <c r="N14" s="640">
        <f t="shared" si="0"/>
        <v>0</v>
      </c>
      <c r="O14" s="640">
        <f t="shared" si="0"/>
        <v>0</v>
      </c>
      <c r="P14" s="640">
        <f t="shared" si="0"/>
        <v>0</v>
      </c>
      <c r="Q14" s="640">
        <f t="shared" si="0"/>
        <v>0</v>
      </c>
      <c r="R14" s="640">
        <f t="shared" si="0"/>
        <v>0</v>
      </c>
      <c r="S14" s="591"/>
      <c r="T14" s="591"/>
      <c r="U14" s="640">
        <f>+U13</f>
        <v>0</v>
      </c>
      <c r="V14" s="640">
        <f aca="true" t="shared" si="1" ref="V14:AX14">+V13</f>
        <v>0</v>
      </c>
      <c r="W14" s="640">
        <f t="shared" si="1"/>
      </c>
      <c r="X14" s="640">
        <f t="shared" si="1"/>
        <v>0</v>
      </c>
      <c r="Y14" s="640">
        <f t="shared" si="1"/>
        <v>0</v>
      </c>
      <c r="Z14" s="640">
        <f t="shared" si="1"/>
      </c>
      <c r="AA14" s="640">
        <f t="shared" si="1"/>
        <v>0</v>
      </c>
      <c r="AB14" s="640">
        <f t="shared" si="1"/>
        <v>0</v>
      </c>
      <c r="AC14" s="640">
        <f t="shared" si="1"/>
      </c>
      <c r="AD14" s="640">
        <f t="shared" si="1"/>
        <v>0</v>
      </c>
      <c r="AE14" s="640">
        <f t="shared" si="1"/>
        <v>0</v>
      </c>
      <c r="AF14" s="640">
        <f t="shared" si="1"/>
      </c>
      <c r="AG14" s="640">
        <f t="shared" si="1"/>
        <v>0</v>
      </c>
      <c r="AH14" s="640">
        <f t="shared" si="1"/>
        <v>0</v>
      </c>
      <c r="AI14" s="640">
        <f t="shared" si="1"/>
      </c>
      <c r="AJ14" s="640">
        <f t="shared" si="1"/>
        <v>0</v>
      </c>
      <c r="AK14" s="640">
        <f t="shared" si="1"/>
        <v>0</v>
      </c>
      <c r="AL14" s="640">
        <f t="shared" si="1"/>
      </c>
      <c r="AM14" s="640">
        <f t="shared" si="1"/>
        <v>0</v>
      </c>
      <c r="AN14" s="640">
        <f t="shared" si="1"/>
        <v>0</v>
      </c>
      <c r="AO14" s="640">
        <f t="shared" si="1"/>
      </c>
      <c r="AP14" s="640">
        <f t="shared" si="1"/>
        <v>0</v>
      </c>
      <c r="AQ14" s="640">
        <f t="shared" si="1"/>
        <v>0</v>
      </c>
      <c r="AR14" s="640">
        <f t="shared" si="1"/>
      </c>
      <c r="AS14" s="640">
        <f t="shared" si="1"/>
        <v>0</v>
      </c>
      <c r="AT14" s="640">
        <f t="shared" si="1"/>
        <v>0</v>
      </c>
      <c r="AU14" s="640">
        <f t="shared" si="1"/>
      </c>
      <c r="AV14" s="640">
        <f t="shared" si="1"/>
        <v>0</v>
      </c>
      <c r="AW14" s="640">
        <f t="shared" si="1"/>
        <v>0</v>
      </c>
      <c r="AX14" s="640">
        <f t="shared" si="1"/>
      </c>
      <c r="AY14" s="392">
        <f aca="true" t="shared" si="2" ref="AY14:AZ19">+N14-O14</f>
        <v>0</v>
      </c>
      <c r="AZ14" s="392">
        <f t="shared" si="2"/>
        <v>0</v>
      </c>
      <c r="BA14" s="392">
        <f aca="true" t="shared" si="3" ref="BA14:BA19">+Q14-R14</f>
        <v>0</v>
      </c>
      <c r="BC14" s="392">
        <f>+'[7]Actividades'!O14-O14</f>
        <v>0</v>
      </c>
      <c r="BD14" s="392">
        <f>+'[7]Actividades'!P14-P14</f>
        <v>0</v>
      </c>
      <c r="BE14" s="392">
        <f>+'[7]Actividades'!Q14-Q14</f>
        <v>0</v>
      </c>
      <c r="BF14" s="392">
        <f>+'[7]Actividades'!R14-R14</f>
        <v>0</v>
      </c>
    </row>
    <row r="15" spans="1:58" s="6" customFormat="1" ht="37.5" customHeight="1" outlineLevel="2">
      <c r="A15" s="378"/>
      <c r="B15" s="378" t="s">
        <v>285</v>
      </c>
      <c r="C15" s="379">
        <v>879</v>
      </c>
      <c r="D15" s="380" t="s">
        <v>411</v>
      </c>
      <c r="E15" s="379"/>
      <c r="F15" s="380" t="s">
        <v>130</v>
      </c>
      <c r="G15" s="631"/>
      <c r="H15" s="381" t="s">
        <v>26</v>
      </c>
      <c r="I15" s="631"/>
      <c r="J15" s="380" t="s">
        <v>114</v>
      </c>
      <c r="K15" s="632">
        <v>0.45</v>
      </c>
      <c r="L15" s="633">
        <v>0.09</v>
      </c>
      <c r="M15" s="634">
        <v>87550000</v>
      </c>
      <c r="N15" s="635">
        <v>87550000</v>
      </c>
      <c r="O15" s="387">
        <v>87336400</v>
      </c>
      <c r="P15" s="387">
        <v>23580828</v>
      </c>
      <c r="Q15" s="636">
        <v>29252300</v>
      </c>
      <c r="R15" s="387">
        <v>29252300</v>
      </c>
      <c r="S15" s="637" t="s">
        <v>410</v>
      </c>
      <c r="T15" s="388" t="s">
        <v>402</v>
      </c>
      <c r="U15" s="635">
        <f>+N15</f>
        <v>87550000</v>
      </c>
      <c r="V15" s="387">
        <f>+O15</f>
        <v>87336400</v>
      </c>
      <c r="W15" s="390">
        <f>IF(U15=0,"",V15/U15)</f>
        <v>0.99756025128498</v>
      </c>
      <c r="X15" s="391"/>
      <c r="Y15" s="391"/>
      <c r="Z15" s="390"/>
      <c r="AA15" s="391"/>
      <c r="AB15" s="391"/>
      <c r="AC15" s="390"/>
      <c r="AD15" s="391"/>
      <c r="AE15" s="391"/>
      <c r="AF15" s="390"/>
      <c r="AG15" s="391"/>
      <c r="AH15" s="391"/>
      <c r="AI15" s="390"/>
      <c r="AJ15" s="391"/>
      <c r="AK15" s="391"/>
      <c r="AL15" s="390"/>
      <c r="AM15" s="391"/>
      <c r="AN15" s="391"/>
      <c r="AO15" s="390"/>
      <c r="AP15" s="391"/>
      <c r="AQ15" s="391"/>
      <c r="AR15" s="390"/>
      <c r="AS15" s="391"/>
      <c r="AT15" s="391"/>
      <c r="AU15" s="390"/>
      <c r="AV15" s="391"/>
      <c r="AW15" s="391"/>
      <c r="AX15" s="390"/>
      <c r="AY15" s="392">
        <f t="shared" si="2"/>
        <v>213600</v>
      </c>
      <c r="AZ15" s="392">
        <f t="shared" si="2"/>
        <v>63755572</v>
      </c>
      <c r="BA15" s="392">
        <f t="shared" si="3"/>
        <v>0</v>
      </c>
      <c r="BC15" s="392">
        <f>+'[7]Actividades'!O15-O15</f>
        <v>-15008080</v>
      </c>
      <c r="BD15" s="392">
        <f>+'[7]Actividades'!P15-P15</f>
        <v>32674532</v>
      </c>
      <c r="BE15" s="392">
        <f>+'[7]Actividades'!Q15-Q15</f>
        <v>6411320</v>
      </c>
      <c r="BF15" s="392">
        <f>+'[7]Actividades'!R15-R15</f>
        <v>4594180</v>
      </c>
    </row>
    <row r="16" spans="1:58" s="568" customFormat="1" ht="15" outlineLevel="2">
      <c r="A16" s="557"/>
      <c r="B16" s="557"/>
      <c r="C16" s="558"/>
      <c r="D16" s="582"/>
      <c r="E16" s="558"/>
      <c r="F16" s="582"/>
      <c r="G16" s="559"/>
      <c r="H16" s="638"/>
      <c r="I16" s="559"/>
      <c r="J16" s="582"/>
      <c r="K16" s="639"/>
      <c r="L16" s="639"/>
      <c r="M16" s="566">
        <f aca="true" t="shared" si="4" ref="M16:R16">+M15</f>
        <v>87550000</v>
      </c>
      <c r="N16" s="640">
        <f t="shared" si="4"/>
        <v>87550000</v>
      </c>
      <c r="O16" s="640">
        <f t="shared" si="4"/>
        <v>87336400</v>
      </c>
      <c r="P16" s="640">
        <f t="shared" si="4"/>
        <v>23580828</v>
      </c>
      <c r="Q16" s="640">
        <f t="shared" si="4"/>
        <v>29252300</v>
      </c>
      <c r="R16" s="640">
        <f t="shared" si="4"/>
        <v>29252300</v>
      </c>
      <c r="S16" s="591"/>
      <c r="T16" s="591"/>
      <c r="U16" s="640">
        <f>+U15</f>
        <v>87550000</v>
      </c>
      <c r="V16" s="640">
        <f aca="true" t="shared" si="5" ref="V16:AX16">+V15</f>
        <v>87336400</v>
      </c>
      <c r="W16" s="640">
        <f t="shared" si="5"/>
        <v>0.99756025128498</v>
      </c>
      <c r="X16" s="640">
        <f t="shared" si="5"/>
        <v>0</v>
      </c>
      <c r="Y16" s="640">
        <f t="shared" si="5"/>
        <v>0</v>
      </c>
      <c r="Z16" s="640">
        <f t="shared" si="5"/>
        <v>0</v>
      </c>
      <c r="AA16" s="640">
        <f t="shared" si="5"/>
        <v>0</v>
      </c>
      <c r="AB16" s="640">
        <f t="shared" si="5"/>
        <v>0</v>
      </c>
      <c r="AC16" s="640">
        <f t="shared" si="5"/>
        <v>0</v>
      </c>
      <c r="AD16" s="640">
        <f t="shared" si="5"/>
        <v>0</v>
      </c>
      <c r="AE16" s="640">
        <f t="shared" si="5"/>
        <v>0</v>
      </c>
      <c r="AF16" s="640">
        <f t="shared" si="5"/>
        <v>0</v>
      </c>
      <c r="AG16" s="640">
        <f t="shared" si="5"/>
        <v>0</v>
      </c>
      <c r="AH16" s="640">
        <f t="shared" si="5"/>
        <v>0</v>
      </c>
      <c r="AI16" s="640">
        <f t="shared" si="5"/>
        <v>0</v>
      </c>
      <c r="AJ16" s="640">
        <f t="shared" si="5"/>
        <v>0</v>
      </c>
      <c r="AK16" s="640">
        <f t="shared" si="5"/>
        <v>0</v>
      </c>
      <c r="AL16" s="640">
        <f t="shared" si="5"/>
        <v>0</v>
      </c>
      <c r="AM16" s="640">
        <f t="shared" si="5"/>
        <v>0</v>
      </c>
      <c r="AN16" s="640">
        <f t="shared" si="5"/>
        <v>0</v>
      </c>
      <c r="AO16" s="640">
        <f t="shared" si="5"/>
        <v>0</v>
      </c>
      <c r="AP16" s="640">
        <f t="shared" si="5"/>
        <v>0</v>
      </c>
      <c r="AQ16" s="640">
        <f t="shared" si="5"/>
        <v>0</v>
      </c>
      <c r="AR16" s="640">
        <f t="shared" si="5"/>
        <v>0</v>
      </c>
      <c r="AS16" s="640">
        <f t="shared" si="5"/>
        <v>0</v>
      </c>
      <c r="AT16" s="640">
        <f t="shared" si="5"/>
        <v>0</v>
      </c>
      <c r="AU16" s="640">
        <f t="shared" si="5"/>
        <v>0</v>
      </c>
      <c r="AV16" s="640">
        <f t="shared" si="5"/>
        <v>0</v>
      </c>
      <c r="AW16" s="640">
        <f t="shared" si="5"/>
        <v>0</v>
      </c>
      <c r="AX16" s="640">
        <f t="shared" si="5"/>
        <v>0</v>
      </c>
      <c r="AY16" s="392">
        <f t="shared" si="2"/>
        <v>213600</v>
      </c>
      <c r="AZ16" s="392">
        <f t="shared" si="2"/>
        <v>63755572</v>
      </c>
      <c r="BA16" s="392">
        <f t="shared" si="3"/>
        <v>0</v>
      </c>
      <c r="BC16" s="392">
        <f>+'[7]Actividades'!O16-O16</f>
        <v>-15008080</v>
      </c>
      <c r="BD16" s="392">
        <f>+'[7]Actividades'!P16-P16</f>
        <v>32674532</v>
      </c>
      <c r="BE16" s="392">
        <f>+'[7]Actividades'!Q16-Q16</f>
        <v>6411320</v>
      </c>
      <c r="BF16" s="392">
        <f>+'[7]Actividades'!R16-R16</f>
        <v>4594180</v>
      </c>
    </row>
    <row r="17" spans="1:58" s="6" customFormat="1" ht="50.25" customHeight="1" outlineLevel="2">
      <c r="A17" s="378"/>
      <c r="B17" s="378" t="s">
        <v>293</v>
      </c>
      <c r="C17" s="379">
        <v>879</v>
      </c>
      <c r="D17" s="380" t="s">
        <v>404</v>
      </c>
      <c r="E17" s="379"/>
      <c r="F17" s="380" t="s">
        <v>131</v>
      </c>
      <c r="G17" s="631"/>
      <c r="H17" s="381" t="s">
        <v>26</v>
      </c>
      <c r="I17" s="631"/>
      <c r="J17" s="380" t="s">
        <v>133</v>
      </c>
      <c r="K17" s="632">
        <v>0.45</v>
      </c>
      <c r="L17" s="633">
        <v>0.09</v>
      </c>
      <c r="M17" s="641">
        <v>0</v>
      </c>
      <c r="N17" s="635"/>
      <c r="O17" s="387"/>
      <c r="P17" s="387"/>
      <c r="Q17" s="636"/>
      <c r="R17" s="387"/>
      <c r="S17" s="637" t="s">
        <v>410</v>
      </c>
      <c r="T17" s="388" t="s">
        <v>402</v>
      </c>
      <c r="U17" s="635"/>
      <c r="V17" s="387"/>
      <c r="W17" s="390">
        <f>IF(U17=0,"",V17/U17)</f>
      </c>
      <c r="X17" s="391"/>
      <c r="Y17" s="391"/>
      <c r="Z17" s="390"/>
      <c r="AA17" s="391"/>
      <c r="AB17" s="391"/>
      <c r="AC17" s="390">
        <v>0</v>
      </c>
      <c r="AD17" s="391"/>
      <c r="AE17" s="391"/>
      <c r="AF17" s="390"/>
      <c r="AG17" s="391"/>
      <c r="AH17" s="391"/>
      <c r="AI17" s="390"/>
      <c r="AJ17" s="391"/>
      <c r="AK17" s="391"/>
      <c r="AL17" s="390"/>
      <c r="AM17" s="391"/>
      <c r="AN17" s="391"/>
      <c r="AO17" s="390"/>
      <c r="AP17" s="391"/>
      <c r="AQ17" s="391"/>
      <c r="AR17" s="390"/>
      <c r="AS17" s="391"/>
      <c r="AT17" s="391"/>
      <c r="AU17" s="390"/>
      <c r="AV17" s="391"/>
      <c r="AW17" s="391"/>
      <c r="AX17" s="390"/>
      <c r="AY17" s="392">
        <f t="shared" si="2"/>
        <v>0</v>
      </c>
      <c r="AZ17" s="392">
        <f t="shared" si="2"/>
        <v>0</v>
      </c>
      <c r="BA17" s="392">
        <f t="shared" si="3"/>
        <v>0</v>
      </c>
      <c r="BC17" s="392">
        <f>+'[7]Actividades'!O17-O17</f>
        <v>0</v>
      </c>
      <c r="BD17" s="392">
        <f>+'[7]Actividades'!P17-P17</f>
        <v>0</v>
      </c>
      <c r="BE17" s="392">
        <f>+'[7]Actividades'!Q17-Q17</f>
        <v>0</v>
      </c>
      <c r="BF17" s="392">
        <f>+'[7]Actividades'!R17-R17</f>
        <v>0</v>
      </c>
    </row>
    <row r="18" spans="1:58" s="568" customFormat="1" ht="15" outlineLevel="1">
      <c r="A18" s="556"/>
      <c r="B18" s="557"/>
      <c r="C18" s="558"/>
      <c r="D18" s="558"/>
      <c r="E18" s="558"/>
      <c r="F18" s="559"/>
      <c r="G18" s="559"/>
      <c r="H18" s="559"/>
      <c r="I18" s="559"/>
      <c r="J18" s="558"/>
      <c r="K18" s="558"/>
      <c r="L18" s="558"/>
      <c r="M18" s="566">
        <f aca="true" t="shared" si="6" ref="M18:R18">+M17</f>
        <v>0</v>
      </c>
      <c r="N18" s="566">
        <f t="shared" si="6"/>
        <v>0</v>
      </c>
      <c r="O18" s="566">
        <f t="shared" si="6"/>
        <v>0</v>
      </c>
      <c r="P18" s="566">
        <f t="shared" si="6"/>
        <v>0</v>
      </c>
      <c r="Q18" s="566">
        <f t="shared" si="6"/>
        <v>0</v>
      </c>
      <c r="R18" s="566">
        <f t="shared" si="6"/>
        <v>0</v>
      </c>
      <c r="S18" s="559"/>
      <c r="T18" s="564"/>
      <c r="U18" s="566">
        <f>+U17</f>
        <v>0</v>
      </c>
      <c r="V18" s="566">
        <f aca="true" t="shared" si="7" ref="V18:AX18">+V17</f>
        <v>0</v>
      </c>
      <c r="W18" s="566">
        <f t="shared" si="7"/>
      </c>
      <c r="X18" s="566">
        <f t="shared" si="7"/>
        <v>0</v>
      </c>
      <c r="Y18" s="566">
        <f t="shared" si="7"/>
        <v>0</v>
      </c>
      <c r="Z18" s="566">
        <f t="shared" si="7"/>
        <v>0</v>
      </c>
      <c r="AA18" s="566">
        <f t="shared" si="7"/>
        <v>0</v>
      </c>
      <c r="AB18" s="566">
        <f t="shared" si="7"/>
        <v>0</v>
      </c>
      <c r="AC18" s="566">
        <f t="shared" si="7"/>
        <v>0</v>
      </c>
      <c r="AD18" s="566">
        <f t="shared" si="7"/>
        <v>0</v>
      </c>
      <c r="AE18" s="566">
        <f t="shared" si="7"/>
        <v>0</v>
      </c>
      <c r="AF18" s="566">
        <f t="shared" si="7"/>
        <v>0</v>
      </c>
      <c r="AG18" s="566">
        <f t="shared" si="7"/>
        <v>0</v>
      </c>
      <c r="AH18" s="566">
        <f t="shared" si="7"/>
        <v>0</v>
      </c>
      <c r="AI18" s="566">
        <f t="shared" si="7"/>
        <v>0</v>
      </c>
      <c r="AJ18" s="566">
        <f t="shared" si="7"/>
        <v>0</v>
      </c>
      <c r="AK18" s="566">
        <f t="shared" si="7"/>
        <v>0</v>
      </c>
      <c r="AL18" s="566">
        <f t="shared" si="7"/>
        <v>0</v>
      </c>
      <c r="AM18" s="566">
        <f t="shared" si="7"/>
        <v>0</v>
      </c>
      <c r="AN18" s="566">
        <f t="shared" si="7"/>
        <v>0</v>
      </c>
      <c r="AO18" s="566">
        <f t="shared" si="7"/>
        <v>0</v>
      </c>
      <c r="AP18" s="566">
        <f t="shared" si="7"/>
        <v>0</v>
      </c>
      <c r="AQ18" s="566">
        <f t="shared" si="7"/>
        <v>0</v>
      </c>
      <c r="AR18" s="566">
        <f t="shared" si="7"/>
        <v>0</v>
      </c>
      <c r="AS18" s="566">
        <f t="shared" si="7"/>
        <v>0</v>
      </c>
      <c r="AT18" s="566">
        <f t="shared" si="7"/>
        <v>0</v>
      </c>
      <c r="AU18" s="566">
        <f t="shared" si="7"/>
        <v>0</v>
      </c>
      <c r="AV18" s="566">
        <f t="shared" si="7"/>
        <v>0</v>
      </c>
      <c r="AW18" s="566">
        <f t="shared" si="7"/>
        <v>0</v>
      </c>
      <c r="AX18" s="566">
        <f t="shared" si="7"/>
        <v>0</v>
      </c>
      <c r="AY18" s="392">
        <f t="shared" si="2"/>
        <v>0</v>
      </c>
      <c r="AZ18" s="392">
        <f t="shared" si="2"/>
        <v>0</v>
      </c>
      <c r="BA18" s="392">
        <f t="shared" si="3"/>
        <v>0</v>
      </c>
      <c r="BC18" s="392">
        <f>+'[7]Actividades'!O18-O18</f>
        <v>0</v>
      </c>
      <c r="BD18" s="392">
        <f>+'[7]Actividades'!P18-P18</f>
        <v>0</v>
      </c>
      <c r="BE18" s="392">
        <f>+'[7]Actividades'!Q18-Q18</f>
        <v>0</v>
      </c>
      <c r="BF18" s="392">
        <f>+'[7]Actividades'!R18-R18</f>
        <v>0</v>
      </c>
    </row>
    <row r="19" spans="1:58" s="403" customFormat="1" ht="15">
      <c r="A19" s="395" t="s">
        <v>266</v>
      </c>
      <c r="B19" s="395"/>
      <c r="C19" s="396"/>
      <c r="D19" s="396"/>
      <c r="E19" s="396"/>
      <c r="F19" s="397"/>
      <c r="G19" s="397"/>
      <c r="H19" s="397"/>
      <c r="I19" s="397"/>
      <c r="J19" s="396"/>
      <c r="K19" s="398"/>
      <c r="L19" s="399"/>
      <c r="M19" s="400">
        <f aca="true" t="shared" si="8" ref="M19:R19">+M14+M16+M18</f>
        <v>87550000</v>
      </c>
      <c r="N19" s="400">
        <f t="shared" si="8"/>
        <v>87550000</v>
      </c>
      <c r="O19" s="400">
        <f t="shared" si="8"/>
        <v>87336400</v>
      </c>
      <c r="P19" s="400">
        <f t="shared" si="8"/>
        <v>23580828</v>
      </c>
      <c r="Q19" s="400">
        <f t="shared" si="8"/>
        <v>29252300</v>
      </c>
      <c r="R19" s="400">
        <f t="shared" si="8"/>
        <v>29252300</v>
      </c>
      <c r="S19" s="400">
        <f>SUBTOTAL(9,S13:S18)</f>
        <v>0</v>
      </c>
      <c r="T19" s="400">
        <f>SUBTOTAL(9,T13:T18)</f>
        <v>0</v>
      </c>
      <c r="U19" s="400">
        <f>+U14+U16+U18</f>
        <v>87550000</v>
      </c>
      <c r="V19" s="400">
        <f>+V14+V16+V18</f>
        <v>87336400</v>
      </c>
      <c r="W19" s="400" t="e">
        <f aca="true" t="shared" si="9" ref="W19:AW19">+W14+W16+W18</f>
        <v>#VALUE!</v>
      </c>
      <c r="X19" s="400">
        <f t="shared" si="9"/>
        <v>0</v>
      </c>
      <c r="Y19" s="400">
        <f t="shared" si="9"/>
        <v>0</v>
      </c>
      <c r="Z19" s="400"/>
      <c r="AA19" s="400">
        <f t="shared" si="9"/>
        <v>0</v>
      </c>
      <c r="AB19" s="400">
        <f t="shared" si="9"/>
        <v>0</v>
      </c>
      <c r="AC19" s="400"/>
      <c r="AD19" s="400">
        <f t="shared" si="9"/>
        <v>0</v>
      </c>
      <c r="AE19" s="400">
        <f t="shared" si="9"/>
        <v>0</v>
      </c>
      <c r="AF19" s="400"/>
      <c r="AG19" s="400">
        <f t="shared" si="9"/>
        <v>0</v>
      </c>
      <c r="AH19" s="400">
        <f t="shared" si="9"/>
        <v>0</v>
      </c>
      <c r="AI19" s="400"/>
      <c r="AJ19" s="400">
        <f t="shared" si="9"/>
        <v>0</v>
      </c>
      <c r="AK19" s="400">
        <f t="shared" si="9"/>
        <v>0</v>
      </c>
      <c r="AL19" s="400"/>
      <c r="AM19" s="400">
        <f t="shared" si="9"/>
        <v>0</v>
      </c>
      <c r="AN19" s="400">
        <f t="shared" si="9"/>
        <v>0</v>
      </c>
      <c r="AO19" s="400"/>
      <c r="AP19" s="400">
        <f t="shared" si="9"/>
        <v>0</v>
      </c>
      <c r="AQ19" s="400">
        <f t="shared" si="9"/>
        <v>0</v>
      </c>
      <c r="AR19" s="400"/>
      <c r="AS19" s="400">
        <f t="shared" si="9"/>
        <v>0</v>
      </c>
      <c r="AT19" s="400">
        <f t="shared" si="9"/>
        <v>0</v>
      </c>
      <c r="AU19" s="400"/>
      <c r="AV19" s="400">
        <f t="shared" si="9"/>
        <v>0</v>
      </c>
      <c r="AW19" s="400">
        <f t="shared" si="9"/>
        <v>0</v>
      </c>
      <c r="AX19" s="400"/>
      <c r="AY19" s="392">
        <f t="shared" si="2"/>
        <v>213600</v>
      </c>
      <c r="AZ19" s="392">
        <f t="shared" si="2"/>
        <v>63755572</v>
      </c>
      <c r="BA19" s="392">
        <f t="shared" si="3"/>
        <v>0</v>
      </c>
      <c r="BC19" s="392">
        <f>+'[7]Actividades'!O19-O19</f>
        <v>-15008080</v>
      </c>
      <c r="BD19" s="392">
        <f>+'[7]Actividades'!P19-P19</f>
        <v>32674532</v>
      </c>
      <c r="BE19" s="392">
        <f>+'[7]Actividades'!Q19-Q19</f>
        <v>6411320</v>
      </c>
      <c r="BF19" s="392">
        <f>+'[7]Actividades'!R19-R19</f>
        <v>4594180</v>
      </c>
    </row>
    <row r="20" spans="13:22" ht="15">
      <c r="M20" s="404">
        <f>+'Metas inversión 879'!Q65</f>
        <v>0</v>
      </c>
      <c r="N20" s="405">
        <f>+'Metas inversión 879'!R65</f>
        <v>0</v>
      </c>
      <c r="O20" s="405">
        <f>+'Metas inversión 879'!S65</f>
        <v>0</v>
      </c>
      <c r="P20" s="404">
        <f>+'Metas inversión 879'!T65</f>
        <v>0</v>
      </c>
      <c r="Q20" s="404"/>
      <c r="R20" s="404"/>
      <c r="U20" s="407">
        <f>+N20</f>
        <v>0</v>
      </c>
      <c r="V20" s="407">
        <f>+O20</f>
        <v>0</v>
      </c>
    </row>
    <row r="21" spans="13:22" ht="15">
      <c r="M21" s="404">
        <f>+M19-M20</f>
        <v>87550000</v>
      </c>
      <c r="N21" s="404">
        <f>+N19-N20</f>
        <v>87550000</v>
      </c>
      <c r="O21" s="404">
        <f>+O19-O20</f>
        <v>87336400</v>
      </c>
      <c r="P21" s="404">
        <f>+P19-P20</f>
        <v>23580828</v>
      </c>
      <c r="Q21" s="531"/>
      <c r="R21" s="531"/>
      <c r="U21" s="407">
        <f>+U19-U20</f>
        <v>87550000</v>
      </c>
      <c r="V21" s="407">
        <f>+V19-V20</f>
        <v>87336400</v>
      </c>
    </row>
    <row r="22" spans="14:22" ht="15">
      <c r="N22" s="408"/>
      <c r="U22" s="407"/>
      <c r="V22" s="407"/>
    </row>
    <row r="23" ht="15">
      <c r="N23" s="411"/>
    </row>
    <row r="24" ht="15"/>
    <row r="25" ht="15"/>
    <row r="26" ht="15">
      <c r="N26" s="411"/>
    </row>
    <row r="27" ht="15">
      <c r="N27" s="411"/>
    </row>
    <row r="28" ht="15">
      <c r="N28" s="411"/>
    </row>
    <row r="29" ht="15">
      <c r="N29" s="411"/>
    </row>
    <row r="30" ht="15">
      <c r="N30" s="411"/>
    </row>
    <row r="31" ht="15">
      <c r="N31" s="411"/>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sheetData>
  <sheetProtection password="C61F" sheet="1"/>
  <autoFilter ref="A12:AR18"/>
  <mergeCells count="32">
    <mergeCell ref="AM11:AO11"/>
    <mergeCell ref="AP11:AR11"/>
    <mergeCell ref="AS11:AU11"/>
    <mergeCell ref="AV11:AX11"/>
    <mergeCell ref="U11:W11"/>
    <mergeCell ref="X11:Z11"/>
    <mergeCell ref="AA11:AC11"/>
    <mergeCell ref="AD11:AF11"/>
    <mergeCell ref="AG11:AI11"/>
    <mergeCell ref="AJ11:AL11"/>
    <mergeCell ref="K11:L11"/>
    <mergeCell ref="M11:N11"/>
    <mergeCell ref="O11:P11"/>
    <mergeCell ref="Q11:R11"/>
    <mergeCell ref="S11:S12"/>
    <mergeCell ref="T11:T12"/>
    <mergeCell ref="AB1:AE8"/>
    <mergeCell ref="AH1:AJ8"/>
    <mergeCell ref="AK1:AR8"/>
    <mergeCell ref="AS1:AV8"/>
    <mergeCell ref="AW1:AY8"/>
    <mergeCell ref="B11:B12"/>
    <mergeCell ref="C11:C12"/>
    <mergeCell ref="E11:E12"/>
    <mergeCell ref="F11:F12"/>
    <mergeCell ref="G11:I11"/>
    <mergeCell ref="A1:C8"/>
    <mergeCell ref="D1:I8"/>
    <mergeCell ref="J1:M8"/>
    <mergeCell ref="N1:O8"/>
    <mergeCell ref="P1:R8"/>
    <mergeCell ref="S1:AA8"/>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6">
    <tabColor rgb="FF00B050"/>
  </sheetPr>
  <dimension ref="A1:BK10"/>
  <sheetViews>
    <sheetView showGridLines="0" zoomScale="70" zoomScaleNormal="70" zoomScalePageLayoutView="0" workbookViewId="0" topLeftCell="N1">
      <selection activeCell="H12" sqref="H12"/>
    </sheetView>
  </sheetViews>
  <sheetFormatPr defaultColWidth="11.421875" defaultRowHeight="15"/>
  <cols>
    <col min="1" max="1" width="11.421875" style="13" customWidth="1"/>
    <col min="2" max="2" width="16.8515625" style="9" customWidth="1"/>
    <col min="3" max="3" width="16.8515625" style="7" customWidth="1"/>
    <col min="4" max="4" width="16.8515625" style="9" customWidth="1"/>
    <col min="5" max="5" width="29.140625" style="7" customWidth="1"/>
    <col min="6" max="6" width="6.421875" style="9" customWidth="1"/>
    <col min="7" max="7" width="23.421875" style="12" customWidth="1"/>
    <col min="8" max="8" width="6.421875" style="9" customWidth="1"/>
    <col min="9" max="9" width="19.00390625" style="7" customWidth="1"/>
    <col min="10" max="10" width="9.8515625" style="9" customWidth="1"/>
    <col min="11" max="11" width="13.421875" style="10" customWidth="1"/>
    <col min="12" max="12" width="10.28125" style="9" customWidth="1"/>
    <col min="13" max="13" width="16.7109375" style="11" customWidth="1"/>
    <col min="14" max="14" width="9.140625" style="10" customWidth="1"/>
    <col min="15" max="15" width="37.421875" style="11" customWidth="1"/>
    <col min="16" max="16" width="7.00390625" style="10" customWidth="1"/>
    <col min="17" max="17" width="5.421875" style="35" customWidth="1"/>
    <col min="18" max="18" width="5.421875" style="10" customWidth="1"/>
    <col min="19" max="19" width="20.140625" style="6" customWidth="1"/>
    <col min="20" max="20" width="28.00390625" style="6" customWidth="1"/>
    <col min="21" max="21" width="11.7109375" style="10" customWidth="1"/>
    <col min="22" max="22" width="13.7109375" style="6" customWidth="1"/>
    <col min="23" max="23" width="16.8515625" style="5" hidden="1" customWidth="1"/>
    <col min="24" max="24" width="24.28125" style="5" hidden="1" customWidth="1"/>
    <col min="25" max="25" width="21.8515625" style="5" hidden="1" customWidth="1"/>
    <col min="26" max="26" width="19.7109375" style="5" hidden="1" customWidth="1"/>
    <col min="27" max="28" width="16.8515625" style="5" hidden="1" customWidth="1"/>
    <col min="29" max="33" width="50.7109375" style="5" customWidth="1"/>
    <col min="34" max="36" width="11.421875" style="5" customWidth="1"/>
    <col min="37" max="38" width="14.8515625" style="5" hidden="1" customWidth="1"/>
    <col min="39" max="39" width="14.421875" style="5" hidden="1" customWidth="1"/>
    <col min="40" max="40" width="18.00390625" style="5" hidden="1" customWidth="1"/>
    <col min="41" max="42" width="14.00390625" style="5" hidden="1" customWidth="1"/>
    <col min="43" max="45" width="11.421875" style="107" customWidth="1"/>
    <col min="46" max="63" width="11.421875" style="6" customWidth="1"/>
    <col min="64" max="16384" width="11.421875" style="5" customWidth="1"/>
  </cols>
  <sheetData>
    <row r="1" spans="15:16" ht="15">
      <c r="O1" s="105"/>
      <c r="P1" s="106"/>
    </row>
    <row r="2" spans="1:26" ht="33.75">
      <c r="A2" s="212" t="s">
        <v>160</v>
      </c>
      <c r="B2" s="212"/>
      <c r="C2" s="212"/>
      <c r="D2" s="212"/>
      <c r="E2" s="212"/>
      <c r="F2" s="212"/>
      <c r="G2" s="212"/>
      <c r="H2" s="212"/>
      <c r="I2" s="212"/>
      <c r="J2" s="212"/>
      <c r="K2" s="212"/>
      <c r="L2" s="109"/>
      <c r="M2" s="108"/>
      <c r="N2" s="213" t="s">
        <v>188</v>
      </c>
      <c r="O2" s="213"/>
      <c r="P2" s="213"/>
      <c r="Q2" s="213"/>
      <c r="R2" s="213"/>
      <c r="S2" s="213"/>
      <c r="T2" s="213"/>
      <c r="U2" s="213"/>
      <c r="V2" s="213"/>
      <c r="W2" s="213"/>
      <c r="X2" s="213"/>
      <c r="Y2" s="213"/>
      <c r="Z2" s="213"/>
    </row>
    <row r="3" spans="15:16" ht="15">
      <c r="O3" s="105"/>
      <c r="P3" s="106"/>
    </row>
    <row r="4" spans="15:16" ht="15">
      <c r="O4" s="105"/>
      <c r="P4" s="106"/>
    </row>
    <row r="5" spans="1:42" ht="80.25" customHeight="1">
      <c r="A5" s="214" t="s">
        <v>134</v>
      </c>
      <c r="B5" s="216" t="s">
        <v>135</v>
      </c>
      <c r="C5" s="217"/>
      <c r="D5" s="218" t="s">
        <v>17</v>
      </c>
      <c r="E5" s="204"/>
      <c r="F5" s="203" t="s">
        <v>10</v>
      </c>
      <c r="G5" s="204"/>
      <c r="H5" s="203" t="s">
        <v>16</v>
      </c>
      <c r="I5" s="204"/>
      <c r="J5" s="203" t="s">
        <v>11</v>
      </c>
      <c r="K5" s="204"/>
      <c r="L5" s="203" t="s">
        <v>19</v>
      </c>
      <c r="M5" s="204"/>
      <c r="N5" s="210" t="s">
        <v>9</v>
      </c>
      <c r="O5" s="211"/>
      <c r="P5" s="206" t="s">
        <v>136</v>
      </c>
      <c r="Q5" s="206"/>
      <c r="R5" s="207"/>
      <c r="S5" s="198" t="s">
        <v>137</v>
      </c>
      <c r="T5" s="198" t="s">
        <v>7</v>
      </c>
      <c r="U5" s="208" t="s">
        <v>0</v>
      </c>
      <c r="V5" s="209"/>
      <c r="W5" s="205" t="s">
        <v>138</v>
      </c>
      <c r="X5" s="205"/>
      <c r="Y5" s="205" t="s">
        <v>139</v>
      </c>
      <c r="Z5" s="205"/>
      <c r="AA5" s="205" t="s">
        <v>140</v>
      </c>
      <c r="AB5" s="205"/>
      <c r="AC5" s="196" t="s">
        <v>141</v>
      </c>
      <c r="AD5" s="196" t="s">
        <v>142</v>
      </c>
      <c r="AE5" s="196" t="s">
        <v>143</v>
      </c>
      <c r="AF5" s="196" t="s">
        <v>144</v>
      </c>
      <c r="AG5" s="196" t="s">
        <v>2</v>
      </c>
      <c r="AK5" s="200" t="s">
        <v>145</v>
      </c>
      <c r="AL5" s="200"/>
      <c r="AM5" s="200" t="s">
        <v>146</v>
      </c>
      <c r="AN5" s="200"/>
      <c r="AO5" s="200" t="s">
        <v>140</v>
      </c>
      <c r="AP5" s="200"/>
    </row>
    <row r="6" spans="1:42" ht="30.75" customHeight="1">
      <c r="A6" s="215"/>
      <c r="B6" s="110" t="s">
        <v>14</v>
      </c>
      <c r="C6" s="110" t="s">
        <v>15</v>
      </c>
      <c r="D6" s="110" t="s">
        <v>14</v>
      </c>
      <c r="E6" s="110" t="s">
        <v>15</v>
      </c>
      <c r="F6" s="110" t="s">
        <v>14</v>
      </c>
      <c r="G6" s="111" t="s">
        <v>15</v>
      </c>
      <c r="H6" s="110" t="s">
        <v>14</v>
      </c>
      <c r="I6" s="110" t="s">
        <v>15</v>
      </c>
      <c r="J6" s="110" t="s">
        <v>14</v>
      </c>
      <c r="K6" s="110" t="s">
        <v>15</v>
      </c>
      <c r="L6" s="110" t="s">
        <v>14</v>
      </c>
      <c r="M6" s="111" t="s">
        <v>15</v>
      </c>
      <c r="N6" s="112" t="s">
        <v>12</v>
      </c>
      <c r="O6" s="113" t="s">
        <v>13</v>
      </c>
      <c r="P6" s="114" t="s">
        <v>4</v>
      </c>
      <c r="Q6" s="115" t="s">
        <v>5</v>
      </c>
      <c r="R6" s="83" t="s">
        <v>6</v>
      </c>
      <c r="S6" s="199"/>
      <c r="T6" s="199"/>
      <c r="U6" s="116" t="s">
        <v>147</v>
      </c>
      <c r="V6" s="116" t="s">
        <v>148</v>
      </c>
      <c r="W6" s="116" t="s">
        <v>149</v>
      </c>
      <c r="X6" s="116" t="s">
        <v>150</v>
      </c>
      <c r="Y6" s="116" t="s">
        <v>151</v>
      </c>
      <c r="Z6" s="116" t="s">
        <v>152</v>
      </c>
      <c r="AA6" s="116" t="s">
        <v>147</v>
      </c>
      <c r="AB6" s="116" t="s">
        <v>152</v>
      </c>
      <c r="AC6" s="197"/>
      <c r="AD6" s="197"/>
      <c r="AE6" s="197"/>
      <c r="AF6" s="197"/>
      <c r="AG6" s="197"/>
      <c r="AK6" s="117" t="s">
        <v>149</v>
      </c>
      <c r="AL6" s="117" t="s">
        <v>150</v>
      </c>
      <c r="AM6" s="117" t="s">
        <v>151</v>
      </c>
      <c r="AN6" s="117" t="s">
        <v>152</v>
      </c>
      <c r="AO6" s="117" t="s">
        <v>147</v>
      </c>
      <c r="AP6" s="117" t="s">
        <v>152</v>
      </c>
    </row>
    <row r="7" spans="1:45" s="127" customFormat="1" ht="176.25" customHeight="1">
      <c r="A7" s="118"/>
      <c r="B7" s="119" t="s">
        <v>153</v>
      </c>
      <c r="C7" s="120" t="s">
        <v>154</v>
      </c>
      <c r="D7" s="121">
        <v>8</v>
      </c>
      <c r="E7" s="122" t="s">
        <v>31</v>
      </c>
      <c r="F7" s="121">
        <v>8</v>
      </c>
      <c r="G7" s="122" t="s">
        <v>155</v>
      </c>
      <c r="H7" s="123">
        <v>3</v>
      </c>
      <c r="I7" s="122" t="s">
        <v>32</v>
      </c>
      <c r="J7" s="121">
        <v>886</v>
      </c>
      <c r="K7" s="122" t="s">
        <v>43</v>
      </c>
      <c r="L7" s="121">
        <v>7</v>
      </c>
      <c r="M7" s="122" t="s">
        <v>156</v>
      </c>
      <c r="N7" s="121">
        <v>4</v>
      </c>
      <c r="O7" s="122" t="s">
        <v>33</v>
      </c>
      <c r="P7" s="121"/>
      <c r="Q7" s="121" t="s">
        <v>37</v>
      </c>
      <c r="R7" s="121"/>
      <c r="S7" s="121">
        <v>0</v>
      </c>
      <c r="T7" s="122" t="s">
        <v>157</v>
      </c>
      <c r="U7" s="124">
        <v>0.15</v>
      </c>
      <c r="V7" s="125"/>
      <c r="W7" s="201"/>
      <c r="X7" s="201"/>
      <c r="Y7" s="201"/>
      <c r="Z7" s="201"/>
      <c r="AA7" s="201"/>
      <c r="AB7" s="201"/>
      <c r="AC7" s="188" t="s">
        <v>168</v>
      </c>
      <c r="AD7" s="188" t="s">
        <v>169</v>
      </c>
      <c r="AE7" s="188" t="s">
        <v>170</v>
      </c>
      <c r="AF7" s="188" t="s">
        <v>171</v>
      </c>
      <c r="AG7" s="126" t="s">
        <v>158</v>
      </c>
      <c r="AK7" s="128"/>
      <c r="AL7" s="128"/>
      <c r="AM7" s="128"/>
      <c r="AN7" s="128"/>
      <c r="AO7" s="128"/>
      <c r="AP7" s="128"/>
      <c r="AQ7" s="129"/>
      <c r="AR7" s="129"/>
      <c r="AS7" s="129"/>
    </row>
    <row r="8" spans="1:45" s="127" customFormat="1" ht="176.25" customHeight="1">
      <c r="A8" s="130"/>
      <c r="B8" s="119" t="s">
        <v>153</v>
      </c>
      <c r="C8" s="120" t="s">
        <v>154</v>
      </c>
      <c r="D8" s="119">
        <v>8</v>
      </c>
      <c r="E8" s="120" t="s">
        <v>31</v>
      </c>
      <c r="F8" s="119">
        <v>8</v>
      </c>
      <c r="G8" s="120" t="s">
        <v>155</v>
      </c>
      <c r="H8" s="119">
        <v>3</v>
      </c>
      <c r="I8" s="120" t="s">
        <v>32</v>
      </c>
      <c r="J8" s="119">
        <v>886</v>
      </c>
      <c r="K8" s="120" t="s">
        <v>43</v>
      </c>
      <c r="L8" s="119">
        <v>7</v>
      </c>
      <c r="M8" s="120" t="s">
        <v>156</v>
      </c>
      <c r="N8" s="119">
        <v>5</v>
      </c>
      <c r="O8" s="120" t="s">
        <v>34</v>
      </c>
      <c r="P8" s="131"/>
      <c r="Q8" s="121" t="s">
        <v>37</v>
      </c>
      <c r="R8" s="132"/>
      <c r="S8" s="121">
        <v>0</v>
      </c>
      <c r="T8" s="120" t="s">
        <v>159</v>
      </c>
      <c r="U8" s="133">
        <v>0.345</v>
      </c>
      <c r="V8" s="125"/>
      <c r="W8" s="202"/>
      <c r="X8" s="202"/>
      <c r="Y8" s="202"/>
      <c r="Z8" s="202"/>
      <c r="AA8" s="202"/>
      <c r="AB8" s="202"/>
      <c r="AC8" s="188" t="s">
        <v>172</v>
      </c>
      <c r="AD8" s="188" t="s">
        <v>173</v>
      </c>
      <c r="AE8" s="188" t="s">
        <v>174</v>
      </c>
      <c r="AF8" s="188" t="s">
        <v>171</v>
      </c>
      <c r="AG8" s="126" t="s">
        <v>158</v>
      </c>
      <c r="AK8" s="128"/>
      <c r="AL8" s="128"/>
      <c r="AM8" s="128"/>
      <c r="AN8" s="128"/>
      <c r="AO8" s="128"/>
      <c r="AP8" s="128"/>
      <c r="AQ8" s="129"/>
      <c r="AR8" s="129"/>
      <c r="AS8" s="129"/>
    </row>
    <row r="9" spans="1:45" s="138" customFormat="1" ht="15.75">
      <c r="A9" s="134"/>
      <c r="B9" s="134"/>
      <c r="C9" s="135"/>
      <c r="D9" s="134"/>
      <c r="E9" s="135"/>
      <c r="F9" s="134"/>
      <c r="G9" s="135"/>
      <c r="H9" s="134"/>
      <c r="I9" s="135"/>
      <c r="J9" s="134"/>
      <c r="K9" s="134"/>
      <c r="L9" s="134"/>
      <c r="M9" s="135"/>
      <c r="N9" s="134"/>
      <c r="O9" s="135"/>
      <c r="P9" s="134"/>
      <c r="Q9" s="136"/>
      <c r="R9" s="134"/>
      <c r="S9" s="135"/>
      <c r="T9" s="135"/>
      <c r="U9" s="134"/>
      <c r="V9" s="135"/>
      <c r="W9" s="137" t="e">
        <f>SUBTOTAL(9,#REF!)</f>
        <v>#REF!</v>
      </c>
      <c r="X9" s="137" t="e">
        <f>SUBTOTAL(9,#REF!)</f>
        <v>#REF!</v>
      </c>
      <c r="Y9" s="137" t="e">
        <f>SUBTOTAL(9,#REF!)</f>
        <v>#REF!</v>
      </c>
      <c r="Z9" s="137" t="e">
        <f>SUBTOTAL(9,#REF!)</f>
        <v>#REF!</v>
      </c>
      <c r="AA9" s="137" t="e">
        <f>SUBTOTAL(9,#REF!)</f>
        <v>#REF!</v>
      </c>
      <c r="AB9" s="137" t="e">
        <f>SUBTOTAL(9,#REF!)</f>
        <v>#REF!</v>
      </c>
      <c r="AC9" s="135"/>
      <c r="AD9" s="135"/>
      <c r="AE9" s="135"/>
      <c r="AF9" s="135"/>
      <c r="AG9" s="135"/>
      <c r="AQ9" s="139"/>
      <c r="AR9" s="139"/>
      <c r="AS9" s="139"/>
    </row>
    <row r="10" spans="1:63" s="147" customFormat="1" ht="15.75">
      <c r="A10" s="140"/>
      <c r="B10" s="141"/>
      <c r="C10" s="142"/>
      <c r="D10" s="141"/>
      <c r="E10" s="142"/>
      <c r="F10" s="141"/>
      <c r="G10" s="143"/>
      <c r="H10" s="141"/>
      <c r="I10" s="142"/>
      <c r="J10" s="141"/>
      <c r="K10" s="144"/>
      <c r="L10" s="141"/>
      <c r="M10" s="145"/>
      <c r="N10" s="144"/>
      <c r="O10" s="145"/>
      <c r="P10" s="144"/>
      <c r="Q10" s="144"/>
      <c r="R10" s="144"/>
      <c r="S10" s="146"/>
      <c r="T10" s="146"/>
      <c r="U10" s="144"/>
      <c r="V10" s="146"/>
      <c r="AQ10" s="148"/>
      <c r="AR10" s="148"/>
      <c r="AS10" s="148"/>
      <c r="AT10" s="146"/>
      <c r="AU10" s="146"/>
      <c r="AV10" s="146"/>
      <c r="AW10" s="146"/>
      <c r="AX10" s="146"/>
      <c r="AY10" s="146"/>
      <c r="AZ10" s="146"/>
      <c r="BA10" s="146"/>
      <c r="BB10" s="146"/>
      <c r="BC10" s="146"/>
      <c r="BD10" s="146"/>
      <c r="BE10" s="146"/>
      <c r="BF10" s="146"/>
      <c r="BG10" s="146"/>
      <c r="BH10" s="146"/>
      <c r="BI10" s="146"/>
      <c r="BJ10" s="146"/>
      <c r="BK10" s="146"/>
    </row>
  </sheetData>
  <sheetProtection password="ED45" sheet="1" objects="1" scenarios="1" formatRows="0"/>
  <mergeCells count="31">
    <mergeCell ref="A2:K2"/>
    <mergeCell ref="N2:Z2"/>
    <mergeCell ref="A5:A6"/>
    <mergeCell ref="B5:C5"/>
    <mergeCell ref="D5:E5"/>
    <mergeCell ref="F5:G5"/>
    <mergeCell ref="AF5:AF6"/>
    <mergeCell ref="AA5:AB5"/>
    <mergeCell ref="W5:X5"/>
    <mergeCell ref="P5:R5"/>
    <mergeCell ref="S5:S6"/>
    <mergeCell ref="J5:K5"/>
    <mergeCell ref="U5:V5"/>
    <mergeCell ref="N5:O5"/>
    <mergeCell ref="Y5:Z5"/>
    <mergeCell ref="AB7:AB8"/>
    <mergeCell ref="H5:I5"/>
    <mergeCell ref="L5:M5"/>
    <mergeCell ref="AC5:AC6"/>
    <mergeCell ref="AD5:AD6"/>
    <mergeCell ref="AE5:AE6"/>
    <mergeCell ref="AG5:AG6"/>
    <mergeCell ref="T5:T6"/>
    <mergeCell ref="AK5:AL5"/>
    <mergeCell ref="AM5:AN5"/>
    <mergeCell ref="AO5:AP5"/>
    <mergeCell ref="W7:W8"/>
    <mergeCell ref="X7:X8"/>
    <mergeCell ref="Y7:Y8"/>
    <mergeCell ref="Z7:Z8"/>
    <mergeCell ref="AA7:AA8"/>
  </mergeCells>
  <conditionalFormatting sqref="W7:AB8">
    <cfRule type="cellIs" priority="2" dxfId="11" operator="notEqual" stopIfTrue="1">
      <formula>BC7</formula>
    </cfRule>
  </conditionalFormatting>
  <conditionalFormatting sqref="W9:Z9">
    <cfRule type="cellIs" priority="1" dxfId="10"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ignoredErrors>
    <ignoredError sqref="B7:B8" numberStoredAsText="1"/>
  </ignoredErrors>
  <legacyDrawing r:id="rId2"/>
</worksheet>
</file>

<file path=xl/worksheets/sheet8.xml><?xml version="1.0" encoding="utf-8"?>
<worksheet xmlns="http://schemas.openxmlformats.org/spreadsheetml/2006/main" xmlns:r="http://schemas.openxmlformats.org/officeDocument/2006/relationships">
  <sheetPr codeName="Hoja3">
    <tabColor rgb="FF00B050"/>
  </sheetPr>
  <dimension ref="A1:V50"/>
  <sheetViews>
    <sheetView showGridLines="0" tabSelected="1" zoomScale="70" zoomScaleNormal="70" zoomScalePageLayoutView="0" workbookViewId="0" topLeftCell="K1">
      <selection activeCell="U58" sqref="U58"/>
    </sheetView>
  </sheetViews>
  <sheetFormatPr defaultColWidth="11.421875" defaultRowHeight="15" zeroHeight="1" outlineLevelRow="2"/>
  <cols>
    <col min="1" max="1" width="9.421875" style="13" customWidth="1"/>
    <col min="2" max="2" width="18.421875" style="56" customWidth="1"/>
    <col min="3" max="3" width="10.140625" style="13" customWidth="1"/>
    <col min="4" max="4" width="24.140625" style="5" customWidth="1"/>
    <col min="5" max="5" width="11.00390625" style="13" customWidth="1"/>
    <col min="6" max="6" width="24.140625" style="5" customWidth="1"/>
    <col min="7" max="7" width="8.7109375" style="13" customWidth="1"/>
    <col min="8" max="8" width="24.140625" style="5" customWidth="1"/>
    <col min="9" max="9" width="10.57421875" style="5" customWidth="1"/>
    <col min="10" max="10" width="27.00390625" style="5" customWidth="1"/>
    <col min="11" max="11" width="8.7109375" style="13" customWidth="1"/>
    <col min="12" max="12" width="30.421875" style="5" customWidth="1"/>
    <col min="13" max="13" width="8.7109375" style="41" customWidth="1"/>
    <col min="14" max="14" width="38.00390625" style="5" customWidth="1"/>
    <col min="15" max="17" width="8.7109375" style="13" customWidth="1"/>
    <col min="18" max="18" width="21.421875" style="5" customWidth="1"/>
    <col min="19" max="19" width="13.00390625" style="13" customWidth="1"/>
    <col min="20" max="20" width="11.421875" style="15" customWidth="1"/>
    <col min="21" max="22" width="70.57421875" style="5" customWidth="1"/>
    <col min="23" max="23" width="0" style="5" hidden="1" customWidth="1"/>
    <col min="24" max="16384" width="11.421875" style="5" customWidth="1"/>
  </cols>
  <sheetData>
    <row r="1" spans="14:17" ht="25.5">
      <c r="N1" s="2" t="s">
        <v>3</v>
      </c>
      <c r="O1" s="14"/>
      <c r="P1" s="14"/>
      <c r="Q1" s="14"/>
    </row>
    <row r="2" spans="1:22" ht="107.25" customHeight="1">
      <c r="A2" s="227" t="s">
        <v>17</v>
      </c>
      <c r="B2" s="220"/>
      <c r="C2" s="227" t="s">
        <v>10</v>
      </c>
      <c r="D2" s="220"/>
      <c r="E2" s="219" t="s">
        <v>16</v>
      </c>
      <c r="F2" s="220"/>
      <c r="G2" s="219" t="s">
        <v>11</v>
      </c>
      <c r="H2" s="220"/>
      <c r="I2" s="219" t="s">
        <v>19</v>
      </c>
      <c r="J2" s="220"/>
      <c r="K2" s="210" t="s">
        <v>9</v>
      </c>
      <c r="L2" s="211"/>
      <c r="M2" s="226" t="s">
        <v>8</v>
      </c>
      <c r="N2" s="207"/>
      <c r="O2" s="222" t="s">
        <v>18</v>
      </c>
      <c r="P2" s="206"/>
      <c r="Q2" s="207"/>
      <c r="R2" s="198" t="s">
        <v>7</v>
      </c>
      <c r="S2" s="205" t="s">
        <v>0</v>
      </c>
      <c r="T2" s="205"/>
      <c r="U2" s="196" t="s">
        <v>1</v>
      </c>
      <c r="V2" s="196" t="s">
        <v>2</v>
      </c>
    </row>
    <row r="3" spans="1:22" ht="28.5" customHeight="1">
      <c r="A3" s="1" t="s">
        <v>14</v>
      </c>
      <c r="B3" s="57" t="s">
        <v>15</v>
      </c>
      <c r="C3" s="1" t="s">
        <v>14</v>
      </c>
      <c r="D3" s="1" t="s">
        <v>15</v>
      </c>
      <c r="E3" s="1" t="s">
        <v>14</v>
      </c>
      <c r="F3" s="1" t="s">
        <v>15</v>
      </c>
      <c r="G3" s="1" t="s">
        <v>14</v>
      </c>
      <c r="H3" s="1" t="s">
        <v>15</v>
      </c>
      <c r="I3" s="1" t="s">
        <v>14</v>
      </c>
      <c r="J3" s="1" t="s">
        <v>15</v>
      </c>
      <c r="K3" s="8" t="s">
        <v>12</v>
      </c>
      <c r="L3" s="8" t="s">
        <v>13</v>
      </c>
      <c r="M3" s="59" t="s">
        <v>12</v>
      </c>
      <c r="N3" s="8" t="s">
        <v>13</v>
      </c>
      <c r="O3" s="4" t="s">
        <v>4</v>
      </c>
      <c r="P3" s="4" t="s">
        <v>5</v>
      </c>
      <c r="Q3" s="4" t="s">
        <v>6</v>
      </c>
      <c r="R3" s="221"/>
      <c r="S3" s="3" t="s">
        <v>115</v>
      </c>
      <c r="T3" s="73" t="s">
        <v>116</v>
      </c>
      <c r="U3" s="196"/>
      <c r="V3" s="196"/>
    </row>
    <row r="4" spans="1:22" s="36" customFormat="1" ht="161.25" customHeight="1" hidden="1" outlineLevel="2">
      <c r="A4" s="31">
        <v>7</v>
      </c>
      <c r="B4" s="58" t="s">
        <v>20</v>
      </c>
      <c r="C4" s="31">
        <v>5</v>
      </c>
      <c r="D4" s="32" t="s">
        <v>21</v>
      </c>
      <c r="E4" s="31">
        <v>3</v>
      </c>
      <c r="F4" s="32" t="s">
        <v>22</v>
      </c>
      <c r="G4" s="24">
        <v>872</v>
      </c>
      <c r="H4" s="32" t="s">
        <v>23</v>
      </c>
      <c r="I4" s="31">
        <v>6</v>
      </c>
      <c r="J4" s="33" t="s">
        <v>24</v>
      </c>
      <c r="K4" s="34">
        <v>1</v>
      </c>
      <c r="L4" s="32" t="s">
        <v>25</v>
      </c>
      <c r="M4" s="60">
        <v>1</v>
      </c>
      <c r="N4" s="30" t="s">
        <v>35</v>
      </c>
      <c r="O4" s="18" t="s">
        <v>37</v>
      </c>
      <c r="P4" s="18"/>
      <c r="Q4" s="18"/>
      <c r="R4" s="32" t="s">
        <v>38</v>
      </c>
      <c r="S4" s="80">
        <v>0.25</v>
      </c>
      <c r="T4" s="74"/>
      <c r="U4" s="17"/>
      <c r="V4" s="17"/>
    </row>
    <row r="5" spans="1:22" s="36" customFormat="1" ht="161.25" customHeight="1" hidden="1" outlineLevel="2">
      <c r="A5" s="31">
        <v>7</v>
      </c>
      <c r="B5" s="58" t="s">
        <v>20</v>
      </c>
      <c r="C5" s="31">
        <v>5</v>
      </c>
      <c r="D5" s="32" t="s">
        <v>21</v>
      </c>
      <c r="E5" s="31">
        <v>3</v>
      </c>
      <c r="F5" s="32" t="s">
        <v>22</v>
      </c>
      <c r="G5" s="24">
        <v>872</v>
      </c>
      <c r="H5" s="32" t="s">
        <v>23</v>
      </c>
      <c r="I5" s="31">
        <v>6</v>
      </c>
      <c r="J5" s="33" t="s">
        <v>24</v>
      </c>
      <c r="K5" s="34">
        <v>1</v>
      </c>
      <c r="L5" s="32" t="s">
        <v>25</v>
      </c>
      <c r="M5" s="60">
        <v>2</v>
      </c>
      <c r="N5" s="30" t="s">
        <v>36</v>
      </c>
      <c r="O5" s="18" t="s">
        <v>37</v>
      </c>
      <c r="P5" s="18"/>
      <c r="Q5" s="18"/>
      <c r="R5" s="32" t="s">
        <v>39</v>
      </c>
      <c r="S5" s="81">
        <v>4</v>
      </c>
      <c r="T5" s="75"/>
      <c r="U5" s="17"/>
      <c r="V5" s="17"/>
    </row>
    <row r="6" spans="1:22" s="36" customFormat="1" ht="161.25" customHeight="1" hidden="1" outlineLevel="2">
      <c r="A6" s="31">
        <v>7</v>
      </c>
      <c r="B6" s="58" t="s">
        <v>20</v>
      </c>
      <c r="C6" s="31">
        <v>5</v>
      </c>
      <c r="D6" s="32" t="s">
        <v>21</v>
      </c>
      <c r="E6" s="31">
        <v>3</v>
      </c>
      <c r="F6" s="32" t="s">
        <v>22</v>
      </c>
      <c r="G6" s="24">
        <v>872</v>
      </c>
      <c r="H6" s="32" t="s">
        <v>23</v>
      </c>
      <c r="I6" s="31">
        <v>6</v>
      </c>
      <c r="J6" s="33" t="s">
        <v>24</v>
      </c>
      <c r="K6" s="34">
        <v>1</v>
      </c>
      <c r="L6" s="32" t="s">
        <v>25</v>
      </c>
      <c r="M6" s="60">
        <v>3</v>
      </c>
      <c r="N6" s="30" t="s">
        <v>117</v>
      </c>
      <c r="O6" s="18" t="s">
        <v>37</v>
      </c>
      <c r="P6" s="18"/>
      <c r="Q6" s="18"/>
      <c r="R6" s="32" t="s">
        <v>40</v>
      </c>
      <c r="S6" s="81">
        <v>6</v>
      </c>
      <c r="T6" s="75"/>
      <c r="U6" s="17"/>
      <c r="V6" s="17"/>
    </row>
    <row r="7" spans="1:22" s="36" customFormat="1" ht="161.25" customHeight="1" outlineLevel="2">
      <c r="A7" s="84">
        <v>7</v>
      </c>
      <c r="B7" s="85" t="s">
        <v>20</v>
      </c>
      <c r="C7" s="84">
        <v>5</v>
      </c>
      <c r="D7" s="86" t="s">
        <v>21</v>
      </c>
      <c r="E7" s="84">
        <v>3</v>
      </c>
      <c r="F7" s="86" t="s">
        <v>22</v>
      </c>
      <c r="G7" s="87">
        <v>872</v>
      </c>
      <c r="H7" s="86" t="s">
        <v>23</v>
      </c>
      <c r="I7" s="84">
        <v>6</v>
      </c>
      <c r="J7" s="88" t="s">
        <v>24</v>
      </c>
      <c r="K7" s="89">
        <v>1</v>
      </c>
      <c r="L7" s="86" t="s">
        <v>25</v>
      </c>
      <c r="M7" s="90">
        <v>4</v>
      </c>
      <c r="N7" s="86" t="s">
        <v>27</v>
      </c>
      <c r="O7" s="16"/>
      <c r="P7" s="16"/>
      <c r="Q7" s="16" t="s">
        <v>26</v>
      </c>
      <c r="R7" s="86" t="s">
        <v>29</v>
      </c>
      <c r="S7" s="91">
        <v>1</v>
      </c>
      <c r="T7" s="186">
        <v>0.5</v>
      </c>
      <c r="U7" s="182" t="s">
        <v>165</v>
      </c>
      <c r="V7" s="17"/>
    </row>
    <row r="8" spans="1:22" s="36" customFormat="1" ht="161.25" customHeight="1" outlineLevel="2">
      <c r="A8" s="84">
        <v>7</v>
      </c>
      <c r="B8" s="85" t="s">
        <v>20</v>
      </c>
      <c r="C8" s="84">
        <v>5</v>
      </c>
      <c r="D8" s="86" t="s">
        <v>21</v>
      </c>
      <c r="E8" s="84">
        <v>3</v>
      </c>
      <c r="F8" s="86" t="s">
        <v>22</v>
      </c>
      <c r="G8" s="87">
        <v>872</v>
      </c>
      <c r="H8" s="86" t="s">
        <v>23</v>
      </c>
      <c r="I8" s="84">
        <v>6</v>
      </c>
      <c r="J8" s="88" t="s">
        <v>24</v>
      </c>
      <c r="K8" s="89">
        <v>1</v>
      </c>
      <c r="L8" s="86" t="s">
        <v>25</v>
      </c>
      <c r="M8" s="90">
        <v>5</v>
      </c>
      <c r="N8" s="86" t="s">
        <v>28</v>
      </c>
      <c r="O8" s="16"/>
      <c r="P8" s="16"/>
      <c r="Q8" s="16" t="s">
        <v>26</v>
      </c>
      <c r="R8" s="86" t="s">
        <v>30</v>
      </c>
      <c r="S8" s="91">
        <v>1</v>
      </c>
      <c r="T8" s="186">
        <v>0.5</v>
      </c>
      <c r="U8" s="182" t="s">
        <v>166</v>
      </c>
      <c r="V8" s="17"/>
    </row>
    <row r="9" spans="1:22" s="37" customFormat="1" ht="18" customHeight="1">
      <c r="A9" s="223"/>
      <c r="B9" s="224"/>
      <c r="C9" s="225"/>
      <c r="D9" s="19"/>
      <c r="E9" s="19"/>
      <c r="F9" s="19"/>
      <c r="G9" s="19"/>
      <c r="H9" s="19"/>
      <c r="I9" s="19"/>
      <c r="J9" s="19"/>
      <c r="K9" s="19"/>
      <c r="L9" s="19"/>
      <c r="M9" s="61"/>
      <c r="N9" s="20"/>
      <c r="O9" s="20"/>
      <c r="P9" s="20"/>
      <c r="Q9" s="20"/>
      <c r="R9" s="19"/>
      <c r="S9" s="21"/>
      <c r="T9" s="76"/>
      <c r="U9" s="72"/>
      <c r="V9" s="72"/>
    </row>
    <row r="10" spans="1:22" s="39" customFormat="1" ht="161.25" customHeight="1" hidden="1" outlineLevel="2">
      <c r="A10" s="22">
        <v>7</v>
      </c>
      <c r="B10" s="25" t="s">
        <v>41</v>
      </c>
      <c r="C10" s="22">
        <v>2</v>
      </c>
      <c r="D10" s="23" t="s">
        <v>42</v>
      </c>
      <c r="E10" s="24">
        <v>30</v>
      </c>
      <c r="F10" s="23" t="s">
        <v>22</v>
      </c>
      <c r="G10" s="24">
        <v>886</v>
      </c>
      <c r="H10" s="25" t="s">
        <v>43</v>
      </c>
      <c r="I10" s="26">
        <v>1</v>
      </c>
      <c r="J10" s="51" t="s">
        <v>44</v>
      </c>
      <c r="K10" s="100">
        <v>1</v>
      </c>
      <c r="L10" s="23" t="s">
        <v>45</v>
      </c>
      <c r="M10" s="52">
        <v>1</v>
      </c>
      <c r="N10" s="23" t="s">
        <v>53</v>
      </c>
      <c r="O10" s="18"/>
      <c r="P10" s="24" t="s">
        <v>26</v>
      </c>
      <c r="Q10" s="24"/>
      <c r="R10" s="25" t="s">
        <v>78</v>
      </c>
      <c r="S10" s="38">
        <v>0.25</v>
      </c>
      <c r="T10" s="77"/>
      <c r="U10" s="27"/>
      <c r="V10" s="27"/>
    </row>
    <row r="11" spans="1:22" s="39" customFormat="1" ht="161.25" customHeight="1" hidden="1" outlineLevel="2">
      <c r="A11" s="22">
        <v>7</v>
      </c>
      <c r="B11" s="25" t="s">
        <v>41</v>
      </c>
      <c r="C11" s="22">
        <v>2</v>
      </c>
      <c r="D11" s="23" t="s">
        <v>42</v>
      </c>
      <c r="E11" s="24">
        <v>30</v>
      </c>
      <c r="F11" s="23" t="s">
        <v>22</v>
      </c>
      <c r="G11" s="24">
        <v>886</v>
      </c>
      <c r="H11" s="25" t="s">
        <v>43</v>
      </c>
      <c r="I11" s="26">
        <v>1</v>
      </c>
      <c r="J11" s="51" t="s">
        <v>44</v>
      </c>
      <c r="K11" s="100">
        <v>1</v>
      </c>
      <c r="L11" s="23" t="s">
        <v>45</v>
      </c>
      <c r="M11" s="52">
        <v>2</v>
      </c>
      <c r="N11" s="23" t="s">
        <v>54</v>
      </c>
      <c r="O11" s="18"/>
      <c r="P11" s="24" t="s">
        <v>26</v>
      </c>
      <c r="Q11" s="24"/>
      <c r="R11" s="25" t="s">
        <v>79</v>
      </c>
      <c r="S11" s="38">
        <v>1</v>
      </c>
      <c r="T11" s="77"/>
      <c r="U11" s="27"/>
      <c r="V11" s="27"/>
    </row>
    <row r="12" spans="1:22" s="39" customFormat="1" ht="161.25" customHeight="1" hidden="1" outlineLevel="2">
      <c r="A12" s="22">
        <v>7</v>
      </c>
      <c r="B12" s="25" t="s">
        <v>41</v>
      </c>
      <c r="C12" s="22">
        <v>2</v>
      </c>
      <c r="D12" s="23" t="s">
        <v>42</v>
      </c>
      <c r="E12" s="24">
        <v>30</v>
      </c>
      <c r="F12" s="23" t="s">
        <v>22</v>
      </c>
      <c r="G12" s="24">
        <v>886</v>
      </c>
      <c r="H12" s="25" t="s">
        <v>43</v>
      </c>
      <c r="I12" s="26">
        <v>1</v>
      </c>
      <c r="J12" s="51" t="s">
        <v>44</v>
      </c>
      <c r="K12" s="100">
        <v>1</v>
      </c>
      <c r="L12" s="23" t="s">
        <v>45</v>
      </c>
      <c r="M12" s="52">
        <v>3</v>
      </c>
      <c r="N12" s="23" t="s">
        <v>55</v>
      </c>
      <c r="O12" s="18"/>
      <c r="P12" s="24" t="s">
        <v>26</v>
      </c>
      <c r="Q12" s="24"/>
      <c r="R12" s="25" t="s">
        <v>80</v>
      </c>
      <c r="S12" s="38">
        <v>1</v>
      </c>
      <c r="T12" s="77"/>
      <c r="U12" s="27"/>
      <c r="V12" s="27"/>
    </row>
    <row r="13" spans="1:22" s="50" customFormat="1" ht="15" customHeight="1" hidden="1" outlineLevel="2">
      <c r="A13" s="42"/>
      <c r="B13" s="45"/>
      <c r="C13" s="42"/>
      <c r="D13" s="43"/>
      <c r="E13" s="42"/>
      <c r="F13" s="43"/>
      <c r="G13" s="44"/>
      <c r="H13" s="43"/>
      <c r="I13" s="44"/>
      <c r="J13" s="45"/>
      <c r="K13" s="46"/>
      <c r="L13" s="43"/>
      <c r="M13" s="62"/>
      <c r="N13" s="43"/>
      <c r="O13" s="47"/>
      <c r="P13" s="44"/>
      <c r="Q13" s="44"/>
      <c r="R13" s="45"/>
      <c r="S13" s="48"/>
      <c r="T13" s="78"/>
      <c r="U13" s="49"/>
      <c r="V13" s="49"/>
    </row>
    <row r="14" spans="1:22" s="39" customFormat="1" ht="101.25" customHeight="1" hidden="1" outlineLevel="2">
      <c r="A14" s="26">
        <v>7</v>
      </c>
      <c r="B14" s="55" t="s">
        <v>48</v>
      </c>
      <c r="C14" s="26">
        <v>3</v>
      </c>
      <c r="D14" s="53" t="s">
        <v>49</v>
      </c>
      <c r="E14" s="54">
        <v>2</v>
      </c>
      <c r="F14" s="53" t="s">
        <v>50</v>
      </c>
      <c r="G14" s="54">
        <v>886</v>
      </c>
      <c r="H14" s="55" t="s">
        <v>51</v>
      </c>
      <c r="I14" s="26">
        <v>1</v>
      </c>
      <c r="J14" s="51" t="s">
        <v>44</v>
      </c>
      <c r="K14" s="101">
        <v>2</v>
      </c>
      <c r="L14" s="23" t="s">
        <v>52</v>
      </c>
      <c r="M14" s="60">
        <v>1</v>
      </c>
      <c r="N14" s="40" t="s">
        <v>74</v>
      </c>
      <c r="O14" s="18"/>
      <c r="P14" s="24" t="s">
        <v>37</v>
      </c>
      <c r="Q14" s="18"/>
      <c r="R14" s="40" t="s">
        <v>98</v>
      </c>
      <c r="S14" s="82">
        <v>0.25</v>
      </c>
      <c r="T14" s="77"/>
      <c r="U14" s="27"/>
      <c r="V14" s="27"/>
    </row>
    <row r="15" spans="1:22" s="39" customFormat="1" ht="101.25" customHeight="1" hidden="1" outlineLevel="2">
      <c r="A15" s="26">
        <v>7</v>
      </c>
      <c r="B15" s="55" t="s">
        <v>48</v>
      </c>
      <c r="C15" s="26">
        <v>3</v>
      </c>
      <c r="D15" s="53" t="s">
        <v>49</v>
      </c>
      <c r="E15" s="54">
        <v>2</v>
      </c>
      <c r="F15" s="53" t="s">
        <v>50</v>
      </c>
      <c r="G15" s="54">
        <v>886</v>
      </c>
      <c r="H15" s="55" t="s">
        <v>51</v>
      </c>
      <c r="I15" s="26">
        <v>1</v>
      </c>
      <c r="J15" s="51" t="s">
        <v>44</v>
      </c>
      <c r="K15" s="101">
        <v>2</v>
      </c>
      <c r="L15" s="23" t="s">
        <v>52</v>
      </c>
      <c r="M15" s="60">
        <v>2</v>
      </c>
      <c r="N15" s="40" t="s">
        <v>75</v>
      </c>
      <c r="O15" s="18"/>
      <c r="P15" s="24" t="s">
        <v>37</v>
      </c>
      <c r="Q15" s="18"/>
      <c r="R15" s="40" t="s">
        <v>99</v>
      </c>
      <c r="S15" s="82">
        <v>0.25</v>
      </c>
      <c r="T15" s="77"/>
      <c r="U15" s="27"/>
      <c r="V15" s="27"/>
    </row>
    <row r="16" spans="1:22" s="39" customFormat="1" ht="101.25" customHeight="1" hidden="1" outlineLevel="2">
      <c r="A16" s="26">
        <v>7</v>
      </c>
      <c r="B16" s="55" t="s">
        <v>48</v>
      </c>
      <c r="C16" s="26">
        <v>3</v>
      </c>
      <c r="D16" s="53" t="s">
        <v>49</v>
      </c>
      <c r="E16" s="54">
        <v>2</v>
      </c>
      <c r="F16" s="53" t="s">
        <v>50</v>
      </c>
      <c r="G16" s="54">
        <v>886</v>
      </c>
      <c r="H16" s="55" t="s">
        <v>51</v>
      </c>
      <c r="I16" s="26">
        <v>1</v>
      </c>
      <c r="J16" s="51" t="s">
        <v>44</v>
      </c>
      <c r="K16" s="101">
        <v>2</v>
      </c>
      <c r="L16" s="23" t="s">
        <v>52</v>
      </c>
      <c r="M16" s="60">
        <v>3</v>
      </c>
      <c r="N16" s="40" t="s">
        <v>76</v>
      </c>
      <c r="O16" s="18"/>
      <c r="P16" s="24" t="s">
        <v>37</v>
      </c>
      <c r="Q16" s="18"/>
      <c r="R16" s="40" t="s">
        <v>100</v>
      </c>
      <c r="S16" s="82">
        <v>0.25</v>
      </c>
      <c r="T16" s="77"/>
      <c r="U16" s="27"/>
      <c r="V16" s="27"/>
    </row>
    <row r="17" spans="1:22" s="39" customFormat="1" ht="101.25" customHeight="1" hidden="1" outlineLevel="2">
      <c r="A17" s="26">
        <v>7</v>
      </c>
      <c r="B17" s="55" t="s">
        <v>48</v>
      </c>
      <c r="C17" s="26">
        <v>3</v>
      </c>
      <c r="D17" s="53" t="s">
        <v>49</v>
      </c>
      <c r="E17" s="54">
        <v>2</v>
      </c>
      <c r="F17" s="53" t="s">
        <v>50</v>
      </c>
      <c r="G17" s="54">
        <v>886</v>
      </c>
      <c r="H17" s="55" t="s">
        <v>51</v>
      </c>
      <c r="I17" s="26">
        <v>1</v>
      </c>
      <c r="J17" s="51" t="s">
        <v>44</v>
      </c>
      <c r="K17" s="101">
        <v>2</v>
      </c>
      <c r="L17" s="23" t="s">
        <v>52</v>
      </c>
      <c r="M17" s="60">
        <v>4</v>
      </c>
      <c r="N17" s="23" t="s">
        <v>77</v>
      </c>
      <c r="O17" s="18"/>
      <c r="P17" s="24" t="s">
        <v>37</v>
      </c>
      <c r="Q17" s="18"/>
      <c r="R17" s="29" t="s">
        <v>101</v>
      </c>
      <c r="S17" s="82">
        <v>0.25</v>
      </c>
      <c r="T17" s="77"/>
      <c r="U17" s="27"/>
      <c r="V17" s="27"/>
    </row>
    <row r="18" spans="1:22" s="50" customFormat="1" ht="15" customHeight="1" hidden="1" outlineLevel="2">
      <c r="A18" s="42"/>
      <c r="B18" s="45"/>
      <c r="C18" s="42"/>
      <c r="D18" s="43"/>
      <c r="E18" s="42"/>
      <c r="F18" s="43"/>
      <c r="G18" s="44"/>
      <c r="H18" s="43"/>
      <c r="I18" s="44"/>
      <c r="J18" s="45"/>
      <c r="K18" s="46"/>
      <c r="L18" s="43"/>
      <c r="M18" s="62"/>
      <c r="N18" s="43"/>
      <c r="O18" s="47"/>
      <c r="P18" s="44"/>
      <c r="Q18" s="44"/>
      <c r="R18" s="45"/>
      <c r="S18" s="48"/>
      <c r="T18" s="78"/>
      <c r="U18" s="49"/>
      <c r="V18" s="49"/>
    </row>
    <row r="19" spans="1:22" s="39" customFormat="1" ht="161.25" customHeight="1" hidden="1" outlineLevel="2">
      <c r="A19" s="22">
        <v>7</v>
      </c>
      <c r="B19" s="23" t="s">
        <v>41</v>
      </c>
      <c r="C19" s="22">
        <v>3</v>
      </c>
      <c r="D19" s="23" t="s">
        <v>102</v>
      </c>
      <c r="E19" s="24">
        <v>30</v>
      </c>
      <c r="F19" s="23" t="s">
        <v>22</v>
      </c>
      <c r="G19" s="24">
        <v>886</v>
      </c>
      <c r="H19" s="25" t="s">
        <v>43</v>
      </c>
      <c r="I19" s="26">
        <v>1</v>
      </c>
      <c r="J19" s="51" t="s">
        <v>44</v>
      </c>
      <c r="K19" s="100">
        <v>3</v>
      </c>
      <c r="L19" s="23" t="s">
        <v>46</v>
      </c>
      <c r="M19" s="60">
        <v>1</v>
      </c>
      <c r="N19" s="23" t="s">
        <v>56</v>
      </c>
      <c r="O19" s="18"/>
      <c r="P19" s="24" t="s">
        <v>26</v>
      </c>
      <c r="Q19" s="24"/>
      <c r="R19" s="25" t="s">
        <v>81</v>
      </c>
      <c r="S19" s="28">
        <v>1</v>
      </c>
      <c r="T19" s="77"/>
      <c r="U19" s="27"/>
      <c r="V19" s="27"/>
    </row>
    <row r="20" spans="1:22" s="39" customFormat="1" ht="161.25" customHeight="1" hidden="1" outlineLevel="2">
      <c r="A20" s="22">
        <v>7</v>
      </c>
      <c r="B20" s="23" t="s">
        <v>41</v>
      </c>
      <c r="C20" s="22">
        <v>3</v>
      </c>
      <c r="D20" s="23" t="s">
        <v>102</v>
      </c>
      <c r="E20" s="24">
        <v>30</v>
      </c>
      <c r="F20" s="23" t="s">
        <v>22</v>
      </c>
      <c r="G20" s="24">
        <v>886</v>
      </c>
      <c r="H20" s="25" t="s">
        <v>43</v>
      </c>
      <c r="I20" s="26">
        <v>1</v>
      </c>
      <c r="J20" s="51" t="s">
        <v>44</v>
      </c>
      <c r="K20" s="100">
        <v>3</v>
      </c>
      <c r="L20" s="23" t="s">
        <v>46</v>
      </c>
      <c r="M20" s="60">
        <v>2</v>
      </c>
      <c r="N20" s="23" t="s">
        <v>57</v>
      </c>
      <c r="O20" s="18"/>
      <c r="P20" s="24" t="s">
        <v>26</v>
      </c>
      <c r="Q20" s="24"/>
      <c r="R20" s="25" t="s">
        <v>82</v>
      </c>
      <c r="S20" s="28">
        <v>1</v>
      </c>
      <c r="T20" s="77"/>
      <c r="U20" s="27"/>
      <c r="V20" s="27"/>
    </row>
    <row r="21" spans="1:22" s="50" customFormat="1" ht="15" customHeight="1" hidden="1" outlineLevel="2">
      <c r="A21" s="42"/>
      <c r="B21" s="45"/>
      <c r="C21" s="42"/>
      <c r="D21" s="43"/>
      <c r="E21" s="42"/>
      <c r="F21" s="43"/>
      <c r="G21" s="44"/>
      <c r="H21" s="43"/>
      <c r="I21" s="44"/>
      <c r="J21" s="45"/>
      <c r="K21" s="46"/>
      <c r="L21" s="43"/>
      <c r="M21" s="62"/>
      <c r="N21" s="43"/>
      <c r="O21" s="47"/>
      <c r="P21" s="44"/>
      <c r="Q21" s="44"/>
      <c r="R21" s="45"/>
      <c r="S21" s="48"/>
      <c r="T21" s="78"/>
      <c r="U21" s="49"/>
      <c r="V21" s="49"/>
    </row>
    <row r="22" spans="1:22" s="39" customFormat="1" ht="153" customHeight="1" hidden="1" outlineLevel="2">
      <c r="A22" s="22">
        <v>7</v>
      </c>
      <c r="B22" s="23" t="s">
        <v>41</v>
      </c>
      <c r="C22" s="22">
        <v>3</v>
      </c>
      <c r="D22" s="23" t="s">
        <v>102</v>
      </c>
      <c r="E22" s="24">
        <v>30</v>
      </c>
      <c r="F22" s="23" t="s">
        <v>22</v>
      </c>
      <c r="G22" s="24">
        <v>886</v>
      </c>
      <c r="H22" s="25" t="s">
        <v>43</v>
      </c>
      <c r="I22" s="26">
        <v>1</v>
      </c>
      <c r="J22" s="51" t="s">
        <v>44</v>
      </c>
      <c r="K22" s="100">
        <v>4</v>
      </c>
      <c r="L22" s="23" t="s">
        <v>47</v>
      </c>
      <c r="M22" s="52">
        <v>1</v>
      </c>
      <c r="N22" s="23" t="s">
        <v>58</v>
      </c>
      <c r="O22" s="24"/>
      <c r="P22" s="24" t="s">
        <v>26</v>
      </c>
      <c r="Q22" s="24"/>
      <c r="R22" s="25" t="s">
        <v>83</v>
      </c>
      <c r="S22" s="63">
        <v>1</v>
      </c>
      <c r="T22" s="77"/>
      <c r="U22" s="27"/>
      <c r="V22" s="27"/>
    </row>
    <row r="23" spans="1:22" s="39" customFormat="1" ht="153" customHeight="1" hidden="1" outlineLevel="2">
      <c r="A23" s="22">
        <v>7</v>
      </c>
      <c r="B23" s="23" t="s">
        <v>41</v>
      </c>
      <c r="C23" s="22">
        <v>3</v>
      </c>
      <c r="D23" s="23" t="s">
        <v>102</v>
      </c>
      <c r="E23" s="24">
        <v>30</v>
      </c>
      <c r="F23" s="23" t="s">
        <v>22</v>
      </c>
      <c r="G23" s="24">
        <v>886</v>
      </c>
      <c r="H23" s="25" t="s">
        <v>43</v>
      </c>
      <c r="I23" s="26">
        <v>1</v>
      </c>
      <c r="J23" s="51" t="s">
        <v>44</v>
      </c>
      <c r="K23" s="100">
        <v>4</v>
      </c>
      <c r="L23" s="23" t="s">
        <v>47</v>
      </c>
      <c r="M23" s="52">
        <v>2</v>
      </c>
      <c r="N23" s="23" t="s">
        <v>59</v>
      </c>
      <c r="O23" s="24"/>
      <c r="P23" s="24" t="s">
        <v>26</v>
      </c>
      <c r="Q23" s="24"/>
      <c r="R23" s="25" t="s">
        <v>84</v>
      </c>
      <c r="S23" s="64">
        <v>18</v>
      </c>
      <c r="T23" s="79"/>
      <c r="U23" s="27"/>
      <c r="V23" s="27"/>
    </row>
    <row r="24" spans="1:22" s="39" customFormat="1" ht="153" customHeight="1" hidden="1" outlineLevel="2">
      <c r="A24" s="22">
        <v>7</v>
      </c>
      <c r="B24" s="23" t="s">
        <v>41</v>
      </c>
      <c r="C24" s="22">
        <v>3</v>
      </c>
      <c r="D24" s="23" t="s">
        <v>102</v>
      </c>
      <c r="E24" s="24">
        <v>30</v>
      </c>
      <c r="F24" s="23" t="s">
        <v>22</v>
      </c>
      <c r="G24" s="24">
        <v>886</v>
      </c>
      <c r="H24" s="25" t="s">
        <v>43</v>
      </c>
      <c r="I24" s="26">
        <v>1</v>
      </c>
      <c r="J24" s="51" t="s">
        <v>44</v>
      </c>
      <c r="K24" s="100">
        <v>4</v>
      </c>
      <c r="L24" s="23" t="s">
        <v>47</v>
      </c>
      <c r="M24" s="52">
        <v>3</v>
      </c>
      <c r="N24" s="23" t="s">
        <v>60</v>
      </c>
      <c r="O24" s="24"/>
      <c r="P24" s="24" t="s">
        <v>26</v>
      </c>
      <c r="Q24" s="24"/>
      <c r="R24" s="25" t="s">
        <v>85</v>
      </c>
      <c r="S24" s="65" t="s">
        <v>128</v>
      </c>
      <c r="T24" s="79"/>
      <c r="U24" s="27"/>
      <c r="V24" s="27"/>
    </row>
    <row r="25" spans="1:22" s="39" customFormat="1" ht="153" customHeight="1" hidden="1" outlineLevel="2">
      <c r="A25" s="22">
        <v>7</v>
      </c>
      <c r="B25" s="23" t="s">
        <v>41</v>
      </c>
      <c r="C25" s="22">
        <v>3</v>
      </c>
      <c r="D25" s="23" t="s">
        <v>102</v>
      </c>
      <c r="E25" s="24">
        <v>30</v>
      </c>
      <c r="F25" s="23" t="s">
        <v>22</v>
      </c>
      <c r="G25" s="24">
        <v>886</v>
      </c>
      <c r="H25" s="25" t="s">
        <v>43</v>
      </c>
      <c r="I25" s="26">
        <v>1</v>
      </c>
      <c r="J25" s="51" t="s">
        <v>44</v>
      </c>
      <c r="K25" s="100">
        <v>4</v>
      </c>
      <c r="L25" s="23" t="s">
        <v>47</v>
      </c>
      <c r="M25" s="52">
        <v>4</v>
      </c>
      <c r="N25" s="23" t="s">
        <v>61</v>
      </c>
      <c r="O25" s="24"/>
      <c r="P25" s="24" t="s">
        <v>26</v>
      </c>
      <c r="Q25" s="24"/>
      <c r="R25" s="25" t="s">
        <v>86</v>
      </c>
      <c r="S25" s="63">
        <v>0.25</v>
      </c>
      <c r="T25" s="77"/>
      <c r="U25" s="27"/>
      <c r="V25" s="27"/>
    </row>
    <row r="26" spans="1:22" s="39" customFormat="1" ht="153" customHeight="1" hidden="1" outlineLevel="2">
      <c r="A26" s="22">
        <v>7</v>
      </c>
      <c r="B26" s="23" t="s">
        <v>41</v>
      </c>
      <c r="C26" s="22">
        <v>3</v>
      </c>
      <c r="D26" s="23" t="s">
        <v>102</v>
      </c>
      <c r="E26" s="24">
        <v>30</v>
      </c>
      <c r="F26" s="23" t="s">
        <v>22</v>
      </c>
      <c r="G26" s="24">
        <v>886</v>
      </c>
      <c r="H26" s="25" t="s">
        <v>43</v>
      </c>
      <c r="I26" s="26">
        <v>1</v>
      </c>
      <c r="J26" s="51" t="s">
        <v>44</v>
      </c>
      <c r="K26" s="100">
        <v>4</v>
      </c>
      <c r="L26" s="23" t="s">
        <v>47</v>
      </c>
      <c r="M26" s="52">
        <v>5</v>
      </c>
      <c r="N26" s="23" t="s">
        <v>62</v>
      </c>
      <c r="O26" s="24"/>
      <c r="P26" s="24" t="s">
        <v>26</v>
      </c>
      <c r="Q26" s="24"/>
      <c r="R26" s="25" t="s">
        <v>87</v>
      </c>
      <c r="S26" s="63">
        <v>0.25</v>
      </c>
      <c r="T26" s="77"/>
      <c r="U26" s="27"/>
      <c r="V26" s="27"/>
    </row>
    <row r="27" spans="1:22" s="39" customFormat="1" ht="153" customHeight="1" hidden="1" outlineLevel="2">
      <c r="A27" s="22">
        <v>7</v>
      </c>
      <c r="B27" s="23" t="s">
        <v>41</v>
      </c>
      <c r="C27" s="22">
        <v>3</v>
      </c>
      <c r="D27" s="23" t="s">
        <v>102</v>
      </c>
      <c r="E27" s="24">
        <v>30</v>
      </c>
      <c r="F27" s="23" t="s">
        <v>22</v>
      </c>
      <c r="G27" s="24">
        <v>886</v>
      </c>
      <c r="H27" s="25" t="s">
        <v>43</v>
      </c>
      <c r="I27" s="26">
        <v>1</v>
      </c>
      <c r="J27" s="51" t="s">
        <v>44</v>
      </c>
      <c r="K27" s="100">
        <v>4</v>
      </c>
      <c r="L27" s="23" t="s">
        <v>47</v>
      </c>
      <c r="M27" s="52">
        <v>6</v>
      </c>
      <c r="N27" s="23" t="s">
        <v>63</v>
      </c>
      <c r="O27" s="24"/>
      <c r="P27" s="24" t="s">
        <v>26</v>
      </c>
      <c r="Q27" s="24"/>
      <c r="R27" s="25" t="s">
        <v>88</v>
      </c>
      <c r="S27" s="63">
        <v>0.25</v>
      </c>
      <c r="T27" s="77"/>
      <c r="U27" s="27"/>
      <c r="V27" s="27"/>
    </row>
    <row r="28" spans="1:22" s="39" customFormat="1" ht="153" customHeight="1" hidden="1" outlineLevel="2">
      <c r="A28" s="22">
        <v>7</v>
      </c>
      <c r="B28" s="23" t="s">
        <v>41</v>
      </c>
      <c r="C28" s="22">
        <v>3</v>
      </c>
      <c r="D28" s="23" t="s">
        <v>102</v>
      </c>
      <c r="E28" s="24">
        <v>30</v>
      </c>
      <c r="F28" s="23" t="s">
        <v>22</v>
      </c>
      <c r="G28" s="24">
        <v>886</v>
      </c>
      <c r="H28" s="25" t="s">
        <v>43</v>
      </c>
      <c r="I28" s="26">
        <v>1</v>
      </c>
      <c r="J28" s="51" t="s">
        <v>44</v>
      </c>
      <c r="K28" s="100">
        <v>4</v>
      </c>
      <c r="L28" s="23" t="s">
        <v>47</v>
      </c>
      <c r="M28" s="52">
        <v>7</v>
      </c>
      <c r="N28" s="23" t="s">
        <v>64</v>
      </c>
      <c r="O28" s="24"/>
      <c r="P28" s="24" t="s">
        <v>26</v>
      </c>
      <c r="Q28" s="24"/>
      <c r="R28" s="25" t="s">
        <v>89</v>
      </c>
      <c r="S28" s="64">
        <v>1</v>
      </c>
      <c r="T28" s="79"/>
      <c r="U28" s="27"/>
      <c r="V28" s="27"/>
    </row>
    <row r="29" spans="1:22" s="39" customFormat="1" ht="153" customHeight="1" hidden="1" outlineLevel="2">
      <c r="A29" s="22">
        <v>7</v>
      </c>
      <c r="B29" s="23" t="s">
        <v>41</v>
      </c>
      <c r="C29" s="22">
        <v>3</v>
      </c>
      <c r="D29" s="23" t="s">
        <v>102</v>
      </c>
      <c r="E29" s="24">
        <v>30</v>
      </c>
      <c r="F29" s="23" t="s">
        <v>22</v>
      </c>
      <c r="G29" s="24">
        <v>886</v>
      </c>
      <c r="H29" s="25" t="s">
        <v>43</v>
      </c>
      <c r="I29" s="26">
        <v>1</v>
      </c>
      <c r="J29" s="51" t="s">
        <v>44</v>
      </c>
      <c r="K29" s="100">
        <v>4</v>
      </c>
      <c r="L29" s="23" t="s">
        <v>47</v>
      </c>
      <c r="M29" s="52">
        <v>8</v>
      </c>
      <c r="N29" s="23" t="s">
        <v>65</v>
      </c>
      <c r="O29" s="24"/>
      <c r="P29" s="24" t="s">
        <v>26</v>
      </c>
      <c r="Q29" s="24"/>
      <c r="R29" s="25" t="s">
        <v>89</v>
      </c>
      <c r="S29" s="64">
        <v>1</v>
      </c>
      <c r="T29" s="79"/>
      <c r="U29" s="27"/>
      <c r="V29" s="27"/>
    </row>
    <row r="30" spans="1:22" s="39" customFormat="1" ht="153" customHeight="1" hidden="1" outlineLevel="2">
      <c r="A30" s="22">
        <v>7</v>
      </c>
      <c r="B30" s="23" t="s">
        <v>41</v>
      </c>
      <c r="C30" s="22">
        <v>3</v>
      </c>
      <c r="D30" s="23" t="s">
        <v>102</v>
      </c>
      <c r="E30" s="24">
        <v>30</v>
      </c>
      <c r="F30" s="23" t="s">
        <v>22</v>
      </c>
      <c r="G30" s="24">
        <v>886</v>
      </c>
      <c r="H30" s="25" t="s">
        <v>43</v>
      </c>
      <c r="I30" s="26">
        <v>1</v>
      </c>
      <c r="J30" s="51" t="s">
        <v>44</v>
      </c>
      <c r="K30" s="100">
        <v>4</v>
      </c>
      <c r="L30" s="23" t="s">
        <v>47</v>
      </c>
      <c r="M30" s="52">
        <v>9</v>
      </c>
      <c r="N30" s="23" t="s">
        <v>66</v>
      </c>
      <c r="O30" s="24"/>
      <c r="P30" s="24" t="s">
        <v>26</v>
      </c>
      <c r="Q30" s="24"/>
      <c r="R30" s="25" t="s">
        <v>90</v>
      </c>
      <c r="S30" s="64">
        <v>128</v>
      </c>
      <c r="T30" s="79"/>
      <c r="U30" s="27"/>
      <c r="V30" s="27"/>
    </row>
    <row r="31" spans="1:22" s="39" customFormat="1" ht="153" customHeight="1" hidden="1" outlineLevel="2">
      <c r="A31" s="22">
        <v>7</v>
      </c>
      <c r="B31" s="23" t="s">
        <v>41</v>
      </c>
      <c r="C31" s="22">
        <v>3</v>
      </c>
      <c r="D31" s="23" t="s">
        <v>102</v>
      </c>
      <c r="E31" s="24">
        <v>30</v>
      </c>
      <c r="F31" s="23" t="s">
        <v>22</v>
      </c>
      <c r="G31" s="24">
        <v>886</v>
      </c>
      <c r="H31" s="25" t="s">
        <v>43</v>
      </c>
      <c r="I31" s="26">
        <v>1</v>
      </c>
      <c r="J31" s="51" t="s">
        <v>44</v>
      </c>
      <c r="K31" s="100">
        <v>4</v>
      </c>
      <c r="L31" s="23" t="s">
        <v>47</v>
      </c>
      <c r="M31" s="52">
        <v>10</v>
      </c>
      <c r="N31" s="23" t="s">
        <v>67</v>
      </c>
      <c r="O31" s="24"/>
      <c r="P31" s="24" t="s">
        <v>26</v>
      </c>
      <c r="Q31" s="24"/>
      <c r="R31" s="25" t="s">
        <v>91</v>
      </c>
      <c r="S31" s="64">
        <v>12</v>
      </c>
      <c r="T31" s="79"/>
      <c r="U31" s="27"/>
      <c r="V31" s="27"/>
    </row>
    <row r="32" spans="1:22" s="36" customFormat="1" ht="153" customHeight="1" outlineLevel="2" thickBot="1">
      <c r="A32" s="92">
        <v>7</v>
      </c>
      <c r="B32" s="93" t="s">
        <v>41</v>
      </c>
      <c r="C32" s="92">
        <v>3</v>
      </c>
      <c r="D32" s="93" t="s">
        <v>102</v>
      </c>
      <c r="E32" s="87">
        <v>30</v>
      </c>
      <c r="F32" s="93" t="s">
        <v>22</v>
      </c>
      <c r="G32" s="87">
        <v>886</v>
      </c>
      <c r="H32" s="94" t="s">
        <v>43</v>
      </c>
      <c r="I32" s="95">
        <v>1</v>
      </c>
      <c r="J32" s="96" t="s">
        <v>44</v>
      </c>
      <c r="K32" s="102">
        <v>4</v>
      </c>
      <c r="L32" s="93" t="s">
        <v>47</v>
      </c>
      <c r="M32" s="92">
        <v>1</v>
      </c>
      <c r="N32" s="93" t="s">
        <v>118</v>
      </c>
      <c r="O32" s="87"/>
      <c r="P32" s="87"/>
      <c r="Q32" s="87" t="s">
        <v>26</v>
      </c>
      <c r="R32" s="94" t="s">
        <v>123</v>
      </c>
      <c r="S32" s="87">
        <v>100</v>
      </c>
      <c r="T32" s="75">
        <v>100</v>
      </c>
      <c r="U32" s="27" t="s">
        <v>175</v>
      </c>
      <c r="V32" s="17"/>
    </row>
    <row r="33" spans="1:22" s="36" customFormat="1" ht="153" customHeight="1" outlineLevel="2" thickBot="1">
      <c r="A33" s="92">
        <v>7</v>
      </c>
      <c r="B33" s="93" t="s">
        <v>41</v>
      </c>
      <c r="C33" s="92">
        <v>3</v>
      </c>
      <c r="D33" s="93" t="s">
        <v>102</v>
      </c>
      <c r="E33" s="87">
        <v>30</v>
      </c>
      <c r="F33" s="93" t="s">
        <v>22</v>
      </c>
      <c r="G33" s="87">
        <v>886</v>
      </c>
      <c r="H33" s="94" t="s">
        <v>43</v>
      </c>
      <c r="I33" s="95">
        <v>1</v>
      </c>
      <c r="J33" s="96" t="s">
        <v>44</v>
      </c>
      <c r="K33" s="102">
        <v>4</v>
      </c>
      <c r="L33" s="93" t="s">
        <v>47</v>
      </c>
      <c r="M33" s="92">
        <v>2</v>
      </c>
      <c r="N33" s="93" t="s">
        <v>119</v>
      </c>
      <c r="O33" s="87"/>
      <c r="P33" s="87"/>
      <c r="Q33" s="87" t="s">
        <v>26</v>
      </c>
      <c r="R33" s="94" t="s">
        <v>124</v>
      </c>
      <c r="S33" s="87">
        <v>4</v>
      </c>
      <c r="T33" s="75">
        <v>2</v>
      </c>
      <c r="U33" s="192" t="s">
        <v>176</v>
      </c>
      <c r="V33" s="17"/>
    </row>
    <row r="34" spans="1:22" s="36" customFormat="1" ht="153" customHeight="1" outlineLevel="2">
      <c r="A34" s="92">
        <v>7</v>
      </c>
      <c r="B34" s="93" t="s">
        <v>41</v>
      </c>
      <c r="C34" s="92">
        <v>3</v>
      </c>
      <c r="D34" s="93" t="s">
        <v>102</v>
      </c>
      <c r="E34" s="87">
        <v>30</v>
      </c>
      <c r="F34" s="93" t="s">
        <v>22</v>
      </c>
      <c r="G34" s="87">
        <v>886</v>
      </c>
      <c r="H34" s="94" t="s">
        <v>43</v>
      </c>
      <c r="I34" s="95">
        <v>1</v>
      </c>
      <c r="J34" s="96" t="s">
        <v>44</v>
      </c>
      <c r="K34" s="102">
        <v>4</v>
      </c>
      <c r="L34" s="93" t="s">
        <v>47</v>
      </c>
      <c r="M34" s="92">
        <v>5</v>
      </c>
      <c r="N34" s="93" t="s">
        <v>120</v>
      </c>
      <c r="O34" s="87"/>
      <c r="P34" s="87"/>
      <c r="Q34" s="87" t="s">
        <v>26</v>
      </c>
      <c r="R34" s="94" t="s">
        <v>125</v>
      </c>
      <c r="S34" s="87">
        <v>12</v>
      </c>
      <c r="T34" s="75">
        <v>6</v>
      </c>
      <c r="U34" s="27" t="s">
        <v>177</v>
      </c>
      <c r="V34" s="17"/>
    </row>
    <row r="35" spans="1:22" s="36" customFormat="1" ht="153" customHeight="1" outlineLevel="2">
      <c r="A35" s="92">
        <v>7</v>
      </c>
      <c r="B35" s="93" t="s">
        <v>41</v>
      </c>
      <c r="C35" s="92">
        <v>3</v>
      </c>
      <c r="D35" s="93" t="s">
        <v>102</v>
      </c>
      <c r="E35" s="87">
        <v>30</v>
      </c>
      <c r="F35" s="93" t="s">
        <v>22</v>
      </c>
      <c r="G35" s="87">
        <v>886</v>
      </c>
      <c r="H35" s="94" t="s">
        <v>43</v>
      </c>
      <c r="I35" s="95">
        <v>1</v>
      </c>
      <c r="J35" s="96" t="s">
        <v>44</v>
      </c>
      <c r="K35" s="102">
        <v>4</v>
      </c>
      <c r="L35" s="93" t="s">
        <v>47</v>
      </c>
      <c r="M35" s="92">
        <v>6</v>
      </c>
      <c r="N35" s="93" t="s">
        <v>68</v>
      </c>
      <c r="O35" s="87"/>
      <c r="P35" s="87"/>
      <c r="Q35" s="87" t="s">
        <v>26</v>
      </c>
      <c r="R35" s="94" t="s">
        <v>126</v>
      </c>
      <c r="S35" s="87">
        <v>100</v>
      </c>
      <c r="T35" s="184">
        <v>100</v>
      </c>
      <c r="U35" s="27" t="s">
        <v>178</v>
      </c>
      <c r="V35" s="17"/>
    </row>
    <row r="36" spans="1:22" s="36" customFormat="1" ht="153" customHeight="1" outlineLevel="2">
      <c r="A36" s="92">
        <v>7</v>
      </c>
      <c r="B36" s="93" t="s">
        <v>41</v>
      </c>
      <c r="C36" s="92">
        <v>3</v>
      </c>
      <c r="D36" s="93" t="s">
        <v>102</v>
      </c>
      <c r="E36" s="87">
        <v>30</v>
      </c>
      <c r="F36" s="93" t="s">
        <v>22</v>
      </c>
      <c r="G36" s="87">
        <v>886</v>
      </c>
      <c r="H36" s="94" t="s">
        <v>43</v>
      </c>
      <c r="I36" s="95">
        <v>1</v>
      </c>
      <c r="J36" s="96" t="s">
        <v>44</v>
      </c>
      <c r="K36" s="102">
        <v>4</v>
      </c>
      <c r="L36" s="93" t="s">
        <v>47</v>
      </c>
      <c r="M36" s="92">
        <v>7</v>
      </c>
      <c r="N36" s="93" t="s">
        <v>69</v>
      </c>
      <c r="O36" s="87"/>
      <c r="P36" s="87"/>
      <c r="Q36" s="87" t="s">
        <v>37</v>
      </c>
      <c r="R36" s="94" t="s">
        <v>127</v>
      </c>
      <c r="S36" s="87">
        <v>100</v>
      </c>
      <c r="T36" s="184">
        <v>100</v>
      </c>
      <c r="U36" s="183" t="s">
        <v>179</v>
      </c>
      <c r="V36" s="17"/>
    </row>
    <row r="37" spans="1:22" s="36" customFormat="1" ht="153" customHeight="1" outlineLevel="2">
      <c r="A37" s="92">
        <v>7</v>
      </c>
      <c r="B37" s="93" t="s">
        <v>41</v>
      </c>
      <c r="C37" s="92">
        <v>3</v>
      </c>
      <c r="D37" s="93" t="s">
        <v>102</v>
      </c>
      <c r="E37" s="87">
        <v>30</v>
      </c>
      <c r="F37" s="93" t="s">
        <v>22</v>
      </c>
      <c r="G37" s="87">
        <v>886</v>
      </c>
      <c r="H37" s="94" t="s">
        <v>43</v>
      </c>
      <c r="I37" s="95">
        <v>1</v>
      </c>
      <c r="J37" s="96" t="s">
        <v>44</v>
      </c>
      <c r="K37" s="102">
        <v>4</v>
      </c>
      <c r="L37" s="93" t="s">
        <v>47</v>
      </c>
      <c r="M37" s="92">
        <v>8</v>
      </c>
      <c r="N37" s="93" t="s">
        <v>70</v>
      </c>
      <c r="O37" s="87"/>
      <c r="P37" s="87"/>
      <c r="Q37" s="87" t="s">
        <v>37</v>
      </c>
      <c r="R37" s="94" t="s">
        <v>92</v>
      </c>
      <c r="S37" s="87">
        <v>100</v>
      </c>
      <c r="T37" s="184">
        <v>100</v>
      </c>
      <c r="U37" s="27" t="s">
        <v>180</v>
      </c>
      <c r="V37" s="17"/>
    </row>
    <row r="38" spans="1:22" s="36" customFormat="1" ht="153" customHeight="1" outlineLevel="2">
      <c r="A38" s="92">
        <v>7</v>
      </c>
      <c r="B38" s="93" t="s">
        <v>41</v>
      </c>
      <c r="C38" s="92">
        <v>3</v>
      </c>
      <c r="D38" s="93" t="s">
        <v>102</v>
      </c>
      <c r="E38" s="87">
        <v>30</v>
      </c>
      <c r="F38" s="93" t="s">
        <v>22</v>
      </c>
      <c r="G38" s="87">
        <v>886</v>
      </c>
      <c r="H38" s="94" t="s">
        <v>43</v>
      </c>
      <c r="I38" s="95">
        <v>1</v>
      </c>
      <c r="J38" s="96" t="s">
        <v>44</v>
      </c>
      <c r="K38" s="102">
        <v>4</v>
      </c>
      <c r="L38" s="93" t="s">
        <v>47</v>
      </c>
      <c r="M38" s="92">
        <v>9</v>
      </c>
      <c r="N38" s="93" t="s">
        <v>71</v>
      </c>
      <c r="O38" s="87"/>
      <c r="P38" s="87"/>
      <c r="Q38" s="87" t="s">
        <v>37</v>
      </c>
      <c r="R38" s="94" t="s">
        <v>93</v>
      </c>
      <c r="S38" s="87">
        <v>100</v>
      </c>
      <c r="T38" s="184">
        <v>100</v>
      </c>
      <c r="U38" s="183" t="s">
        <v>181</v>
      </c>
      <c r="V38" s="17"/>
    </row>
    <row r="39" spans="1:22" s="36" customFormat="1" ht="153" customHeight="1" outlineLevel="2">
      <c r="A39" s="92">
        <v>7</v>
      </c>
      <c r="B39" s="93" t="s">
        <v>41</v>
      </c>
      <c r="C39" s="92">
        <v>3</v>
      </c>
      <c r="D39" s="93" t="s">
        <v>102</v>
      </c>
      <c r="E39" s="87">
        <v>30</v>
      </c>
      <c r="F39" s="93" t="s">
        <v>22</v>
      </c>
      <c r="G39" s="87">
        <v>886</v>
      </c>
      <c r="H39" s="94" t="s">
        <v>43</v>
      </c>
      <c r="I39" s="95">
        <v>1</v>
      </c>
      <c r="J39" s="96" t="s">
        <v>44</v>
      </c>
      <c r="K39" s="102">
        <v>4</v>
      </c>
      <c r="L39" s="93" t="s">
        <v>47</v>
      </c>
      <c r="M39" s="92">
        <v>1</v>
      </c>
      <c r="N39" s="93" t="s">
        <v>72</v>
      </c>
      <c r="O39" s="87"/>
      <c r="P39" s="87"/>
      <c r="Q39" s="87" t="s">
        <v>37</v>
      </c>
      <c r="R39" s="94" t="s">
        <v>94</v>
      </c>
      <c r="S39" s="87">
        <v>100</v>
      </c>
      <c r="T39" s="185">
        <v>0.52</v>
      </c>
      <c r="U39" s="193" t="s">
        <v>182</v>
      </c>
      <c r="V39" s="17"/>
    </row>
    <row r="40" spans="1:22" s="36" customFormat="1" ht="153" customHeight="1" outlineLevel="2">
      <c r="A40" s="92">
        <v>7</v>
      </c>
      <c r="B40" s="93" t="s">
        <v>41</v>
      </c>
      <c r="C40" s="92">
        <v>3</v>
      </c>
      <c r="D40" s="93" t="s">
        <v>102</v>
      </c>
      <c r="E40" s="87">
        <v>30</v>
      </c>
      <c r="F40" s="93" t="s">
        <v>22</v>
      </c>
      <c r="G40" s="87">
        <v>886</v>
      </c>
      <c r="H40" s="94" t="s">
        <v>43</v>
      </c>
      <c r="I40" s="95">
        <v>1</v>
      </c>
      <c r="J40" s="96" t="s">
        <v>44</v>
      </c>
      <c r="K40" s="102">
        <v>4</v>
      </c>
      <c r="L40" s="93" t="s">
        <v>47</v>
      </c>
      <c r="M40" s="92">
        <v>2</v>
      </c>
      <c r="N40" s="93" t="s">
        <v>121</v>
      </c>
      <c r="O40" s="87"/>
      <c r="P40" s="87"/>
      <c r="Q40" s="87" t="s">
        <v>37</v>
      </c>
      <c r="R40" s="94" t="s">
        <v>95</v>
      </c>
      <c r="S40" s="87">
        <v>9</v>
      </c>
      <c r="T40" s="184">
        <v>4</v>
      </c>
      <c r="U40" s="193" t="s">
        <v>183</v>
      </c>
      <c r="V40" s="17"/>
    </row>
    <row r="41" spans="1:22" s="36" customFormat="1" ht="153" customHeight="1" outlineLevel="2">
      <c r="A41" s="92">
        <v>7</v>
      </c>
      <c r="B41" s="93" t="s">
        <v>41</v>
      </c>
      <c r="C41" s="92">
        <v>3</v>
      </c>
      <c r="D41" s="93" t="s">
        <v>102</v>
      </c>
      <c r="E41" s="87">
        <v>30</v>
      </c>
      <c r="F41" s="93" t="s">
        <v>22</v>
      </c>
      <c r="G41" s="87">
        <v>886</v>
      </c>
      <c r="H41" s="94" t="s">
        <v>43</v>
      </c>
      <c r="I41" s="95">
        <v>1</v>
      </c>
      <c r="J41" s="96" t="s">
        <v>44</v>
      </c>
      <c r="K41" s="102">
        <v>4</v>
      </c>
      <c r="L41" s="93" t="s">
        <v>47</v>
      </c>
      <c r="M41" s="92">
        <v>3</v>
      </c>
      <c r="N41" s="93" t="s">
        <v>122</v>
      </c>
      <c r="O41" s="87"/>
      <c r="P41" s="87"/>
      <c r="Q41" s="87" t="s">
        <v>37</v>
      </c>
      <c r="R41" s="94" t="s">
        <v>96</v>
      </c>
      <c r="S41" s="87">
        <v>120</v>
      </c>
      <c r="T41" s="184">
        <v>88</v>
      </c>
      <c r="U41" s="193" t="s">
        <v>184</v>
      </c>
      <c r="V41" s="17"/>
    </row>
    <row r="42" spans="1:22" s="36" customFormat="1" ht="153" customHeight="1" outlineLevel="2">
      <c r="A42" s="95">
        <v>7</v>
      </c>
      <c r="B42" s="97" t="s">
        <v>41</v>
      </c>
      <c r="C42" s="95">
        <v>3</v>
      </c>
      <c r="D42" s="97" t="s">
        <v>102</v>
      </c>
      <c r="E42" s="98">
        <v>30</v>
      </c>
      <c r="F42" s="97" t="s">
        <v>22</v>
      </c>
      <c r="G42" s="98">
        <v>886</v>
      </c>
      <c r="H42" s="99" t="s">
        <v>43</v>
      </c>
      <c r="I42" s="95">
        <v>1</v>
      </c>
      <c r="J42" s="96" t="s">
        <v>44</v>
      </c>
      <c r="K42" s="103">
        <v>4</v>
      </c>
      <c r="L42" s="93" t="s">
        <v>47</v>
      </c>
      <c r="M42" s="92">
        <v>4</v>
      </c>
      <c r="N42" s="93" t="s">
        <v>73</v>
      </c>
      <c r="O42" s="87"/>
      <c r="P42" s="87"/>
      <c r="Q42" s="87" t="s">
        <v>37</v>
      </c>
      <c r="R42" s="94" t="s">
        <v>97</v>
      </c>
      <c r="S42" s="87">
        <v>3</v>
      </c>
      <c r="T42" s="185" t="s">
        <v>167</v>
      </c>
      <c r="U42" s="194" t="s">
        <v>185</v>
      </c>
      <c r="V42" s="17"/>
    </row>
    <row r="43" spans="1:22" s="39" customFormat="1" ht="153" customHeight="1" hidden="1" outlineLevel="2">
      <c r="A43" s="70">
        <v>2</v>
      </c>
      <c r="B43" s="67" t="s">
        <v>103</v>
      </c>
      <c r="C43" s="70">
        <v>2</v>
      </c>
      <c r="D43" s="67" t="s">
        <v>104</v>
      </c>
      <c r="E43" s="70">
        <v>4</v>
      </c>
      <c r="F43" s="67" t="s">
        <v>105</v>
      </c>
      <c r="G43" s="70">
        <v>879</v>
      </c>
      <c r="H43" s="67" t="s">
        <v>106</v>
      </c>
      <c r="I43" s="68">
        <v>1</v>
      </c>
      <c r="J43" s="66" t="s">
        <v>107</v>
      </c>
      <c r="K43" s="104" t="s">
        <v>108</v>
      </c>
      <c r="L43" s="67" t="s">
        <v>109</v>
      </c>
      <c r="M43" s="69" t="s">
        <v>108</v>
      </c>
      <c r="N43" s="67" t="s">
        <v>129</v>
      </c>
      <c r="O43" s="66"/>
      <c r="P43" s="70" t="s">
        <v>37</v>
      </c>
      <c r="Q43" s="66"/>
      <c r="R43" s="67" t="s">
        <v>132</v>
      </c>
      <c r="S43" s="71">
        <v>0.45</v>
      </c>
      <c r="T43" s="77"/>
      <c r="U43" s="27"/>
      <c r="V43" s="27"/>
    </row>
    <row r="44" spans="1:22" s="39" customFormat="1" ht="153" customHeight="1" hidden="1" outlineLevel="2">
      <c r="A44" s="70">
        <v>2</v>
      </c>
      <c r="B44" s="67" t="s">
        <v>103</v>
      </c>
      <c r="C44" s="70">
        <v>2</v>
      </c>
      <c r="D44" s="67" t="s">
        <v>104</v>
      </c>
      <c r="E44" s="70">
        <v>4</v>
      </c>
      <c r="F44" s="67" t="s">
        <v>105</v>
      </c>
      <c r="G44" s="70">
        <v>879</v>
      </c>
      <c r="H44" s="67" t="s">
        <v>106</v>
      </c>
      <c r="I44" s="68">
        <v>1</v>
      </c>
      <c r="J44" s="66" t="s">
        <v>107</v>
      </c>
      <c r="K44" s="104" t="s">
        <v>110</v>
      </c>
      <c r="L44" s="67" t="s">
        <v>111</v>
      </c>
      <c r="M44" s="69" t="s">
        <v>110</v>
      </c>
      <c r="N44" s="67" t="s">
        <v>130</v>
      </c>
      <c r="O44" s="66"/>
      <c r="P44" s="70" t="s">
        <v>37</v>
      </c>
      <c r="Q44" s="66"/>
      <c r="R44" s="67" t="s">
        <v>114</v>
      </c>
      <c r="S44" s="71">
        <v>0.45</v>
      </c>
      <c r="T44" s="77"/>
      <c r="U44" s="27"/>
      <c r="V44" s="27"/>
    </row>
    <row r="45" spans="1:22" s="39" customFormat="1" ht="153" customHeight="1" hidden="1" outlineLevel="2">
      <c r="A45" s="70">
        <v>2</v>
      </c>
      <c r="B45" s="67" t="s">
        <v>103</v>
      </c>
      <c r="C45" s="70">
        <v>2</v>
      </c>
      <c r="D45" s="67" t="s">
        <v>104</v>
      </c>
      <c r="E45" s="70">
        <v>4</v>
      </c>
      <c r="F45" s="67" t="s">
        <v>105</v>
      </c>
      <c r="G45" s="70">
        <v>879</v>
      </c>
      <c r="H45" s="67" t="s">
        <v>106</v>
      </c>
      <c r="I45" s="68">
        <v>1</v>
      </c>
      <c r="J45" s="66" t="s">
        <v>107</v>
      </c>
      <c r="K45" s="104" t="s">
        <v>112</v>
      </c>
      <c r="L45" s="67" t="s">
        <v>113</v>
      </c>
      <c r="M45" s="69" t="s">
        <v>112</v>
      </c>
      <c r="N45" s="67" t="s">
        <v>131</v>
      </c>
      <c r="O45" s="66"/>
      <c r="P45" s="70" t="s">
        <v>37</v>
      </c>
      <c r="Q45" s="66"/>
      <c r="R45" s="67" t="s">
        <v>133</v>
      </c>
      <c r="S45" s="71">
        <v>0.45</v>
      </c>
      <c r="T45" s="77"/>
      <c r="U45" s="27"/>
      <c r="V45" s="27"/>
    </row>
    <row r="46" spans="1:22" s="161" customFormat="1" ht="15" customHeight="1" collapsed="1">
      <c r="A46" s="149"/>
      <c r="B46" s="150"/>
      <c r="C46" s="149"/>
      <c r="D46" s="151"/>
      <c r="E46" s="152"/>
      <c r="F46" s="153"/>
      <c r="G46" s="152"/>
      <c r="H46" s="153"/>
      <c r="I46" s="152"/>
      <c r="J46" s="153"/>
      <c r="K46" s="152"/>
      <c r="L46" s="154"/>
      <c r="M46" s="152"/>
      <c r="N46" s="155"/>
      <c r="O46" s="156"/>
      <c r="P46" s="157"/>
      <c r="Q46" s="158"/>
      <c r="R46" s="155"/>
      <c r="S46" s="159"/>
      <c r="T46" s="187"/>
      <c r="U46" s="160"/>
      <c r="V46" s="160"/>
    </row>
    <row r="47" spans="1:22" s="165" customFormat="1" ht="120.75" customHeight="1">
      <c r="A47" s="121">
        <v>8</v>
      </c>
      <c r="B47" s="122" t="s">
        <v>31</v>
      </c>
      <c r="C47" s="121">
        <v>8</v>
      </c>
      <c r="D47" s="122" t="s">
        <v>155</v>
      </c>
      <c r="E47" s="123">
        <v>3</v>
      </c>
      <c r="F47" s="122" t="s">
        <v>32</v>
      </c>
      <c r="G47" s="121">
        <v>886</v>
      </c>
      <c r="H47" s="122" t="s">
        <v>43</v>
      </c>
      <c r="I47" s="121">
        <v>7</v>
      </c>
      <c r="J47" s="122" t="s">
        <v>156</v>
      </c>
      <c r="K47" s="121">
        <v>4</v>
      </c>
      <c r="L47" s="122" t="s">
        <v>33</v>
      </c>
      <c r="M47" s="162">
        <v>1</v>
      </c>
      <c r="N47" s="122" t="s">
        <v>161</v>
      </c>
      <c r="O47" s="121"/>
      <c r="P47" s="121"/>
      <c r="Q47" s="121" t="s">
        <v>37</v>
      </c>
      <c r="R47" s="122" t="s">
        <v>162</v>
      </c>
      <c r="S47" s="163">
        <v>100</v>
      </c>
      <c r="T47" s="189">
        <v>1</v>
      </c>
      <c r="U47" s="17" t="s">
        <v>186</v>
      </c>
      <c r="V47" s="164" t="s">
        <v>158</v>
      </c>
    </row>
    <row r="48" spans="1:22" s="161" customFormat="1" ht="15" customHeight="1">
      <c r="A48" s="149"/>
      <c r="B48" s="150"/>
      <c r="C48" s="149"/>
      <c r="D48" s="151"/>
      <c r="E48" s="152"/>
      <c r="F48" s="153"/>
      <c r="G48" s="152"/>
      <c r="H48" s="153"/>
      <c r="I48" s="152"/>
      <c r="J48" s="153"/>
      <c r="K48" s="152"/>
      <c r="L48" s="154"/>
      <c r="M48" s="152"/>
      <c r="N48" s="155"/>
      <c r="O48" s="156"/>
      <c r="P48" s="157"/>
      <c r="Q48" s="158"/>
      <c r="R48" s="155"/>
      <c r="S48" s="159"/>
      <c r="T48" s="190"/>
      <c r="U48" s="191"/>
      <c r="V48" s="160"/>
    </row>
    <row r="49" spans="1:22" s="168" customFormat="1" ht="114.75" customHeight="1">
      <c r="A49" s="166">
        <v>8</v>
      </c>
      <c r="B49" s="167" t="s">
        <v>31</v>
      </c>
      <c r="C49" s="166">
        <v>8</v>
      </c>
      <c r="D49" s="167" t="s">
        <v>155</v>
      </c>
      <c r="E49" s="166">
        <v>3</v>
      </c>
      <c r="F49" s="167" t="s">
        <v>32</v>
      </c>
      <c r="G49" s="166">
        <v>886</v>
      </c>
      <c r="H49" s="167" t="s">
        <v>43</v>
      </c>
      <c r="I49" s="166">
        <v>7</v>
      </c>
      <c r="J49" s="167" t="s">
        <v>156</v>
      </c>
      <c r="K49" s="166">
        <v>5</v>
      </c>
      <c r="L49" s="167" t="s">
        <v>34</v>
      </c>
      <c r="M49" s="166">
        <v>1</v>
      </c>
      <c r="N49" s="167" t="s">
        <v>163</v>
      </c>
      <c r="O49" s="167"/>
      <c r="P49" s="167"/>
      <c r="Q49" s="166" t="s">
        <v>37</v>
      </c>
      <c r="R49" s="122" t="s">
        <v>164</v>
      </c>
      <c r="S49" s="163">
        <v>100</v>
      </c>
      <c r="T49" s="189">
        <v>1</v>
      </c>
      <c r="U49" s="17" t="s">
        <v>187</v>
      </c>
      <c r="V49" s="164" t="s">
        <v>158</v>
      </c>
    </row>
    <row r="50" spans="1:22" s="161" customFormat="1" ht="15" customHeight="1">
      <c r="A50" s="169"/>
      <c r="B50" s="170"/>
      <c r="C50" s="169"/>
      <c r="D50" s="171"/>
      <c r="E50" s="172"/>
      <c r="F50" s="173"/>
      <c r="G50" s="172"/>
      <c r="H50" s="173"/>
      <c r="I50" s="172"/>
      <c r="J50" s="173"/>
      <c r="K50" s="172"/>
      <c r="L50" s="174"/>
      <c r="M50" s="172"/>
      <c r="N50" s="175"/>
      <c r="O50" s="176"/>
      <c r="P50" s="177"/>
      <c r="Q50" s="178"/>
      <c r="R50" s="175"/>
      <c r="S50" s="179"/>
      <c r="T50" s="180"/>
      <c r="U50" s="181"/>
      <c r="V50" s="181"/>
    </row>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sheetData>
  <sheetProtection password="C244" sheet="1" objects="1" selectLockedCells="1" selectUnlockedCells="1"/>
  <autoFilter ref="A3:V7"/>
  <mergeCells count="13">
    <mergeCell ref="G2:H2"/>
    <mergeCell ref="K2:L2"/>
    <mergeCell ref="A9:C9"/>
    <mergeCell ref="M2:N2"/>
    <mergeCell ref="A2:B2"/>
    <mergeCell ref="C2:D2"/>
    <mergeCell ref="E2:F2"/>
    <mergeCell ref="U2:U3"/>
    <mergeCell ref="V2:V3"/>
    <mergeCell ref="I2:J2"/>
    <mergeCell ref="R2:R3"/>
    <mergeCell ref="S2:T2"/>
    <mergeCell ref="O2:Q2"/>
  </mergeCells>
  <dataValidations count="4">
    <dataValidation type="list" allowBlank="1" showInputMessage="1" showErrorMessage="1" sqref="G43:G45">
      <formula1>'Actividades gestión'!#REF!</formula1>
    </dataValidation>
    <dataValidation type="list" allowBlank="1" showInputMessage="1" showErrorMessage="1" sqref="D43:D45">
      <formula1>$BF$5:$BF$5</formula1>
    </dataValidation>
    <dataValidation type="list" allowBlank="1" showInputMessage="1" showErrorMessage="1" sqref="C43:C45">
      <formula1>$BE$5:$BE$5</formula1>
    </dataValidation>
    <dataValidation type="list" allowBlank="1" showInputMessage="1" showErrorMessage="1" sqref="N43:N45 R43:R45">
      <formula1>$BK$9:$BK$33</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2015-09-22T19:37:13Z</dcterms:modified>
  <cp:category/>
  <cp:version/>
  <cp:contentType/>
  <cp:contentStatus/>
</cp:coreProperties>
</file>