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70" windowHeight="13155" activeTab="0"/>
  </bookViews>
  <sheets>
    <sheet name="FORMULACIÓN PGDI - I" sheetId="1" r:id="rId1"/>
    <sheet name="FORMULACIÓN PGDI - III." sheetId="2" r:id="rId2"/>
  </sheets>
  <definedNames>
    <definedName name="_xlnm.Print_Area" localSheetId="0">'FORMULACIÓN PGDI - I'!$A$1:$J$14</definedName>
    <definedName name="_xlnm.Print_Area" localSheetId="1">'FORMULACIÓN PGDI - III.'!$A$2:$I$87</definedName>
  </definedNames>
  <calcPr fullCalcOnLoad="1"/>
</workbook>
</file>

<file path=xl/sharedStrings.xml><?xml version="1.0" encoding="utf-8"?>
<sst xmlns="http://schemas.openxmlformats.org/spreadsheetml/2006/main" count="221" uniqueCount="185">
  <si>
    <t>Elaborado por: Alvaro Augusto Amado Camacho
Revisado por: Oscar Ramiro Reyes Muñoz
Aprobado por: Sonia Luz Florez Gutierrez</t>
  </si>
  <si>
    <t>AÑO</t>
  </si>
  <si>
    <t>ASS</t>
  </si>
  <si>
    <t>Asegurar salud</t>
  </si>
  <si>
    <t>OBJETIVO ESTRATEGICO</t>
  </si>
  <si>
    <t>DESCRIPCIÓN DE LA META</t>
  </si>
  <si>
    <r>
      <t xml:space="preserve">Indicador
</t>
    </r>
    <r>
      <rPr>
        <b/>
        <sz val="16"/>
        <color indexed="60"/>
        <rFont val="Arial"/>
        <family val="2"/>
      </rPr>
      <t>[Incluir link a Hoja de Vida]</t>
    </r>
  </si>
  <si>
    <t>DIRECCIÓN/ OFICINA</t>
  </si>
  <si>
    <t>Programado 1er Trimestre</t>
  </si>
  <si>
    <t>Programado 2do Trimestre</t>
  </si>
  <si>
    <t>Programado 3er Trimestre</t>
  </si>
  <si>
    <t>Programado 4to Trimestre</t>
  </si>
  <si>
    <t>Programado Año</t>
  </si>
  <si>
    <t>ESC</t>
  </si>
  <si>
    <t>Evaluación, seguimiento y control a la gestión</t>
  </si>
  <si>
    <t>VERSIÓN</t>
  </si>
  <si>
    <t>FECHA</t>
  </si>
  <si>
    <t>RAZÓN DE LA ACTUALIZACIÓN</t>
  </si>
  <si>
    <t>Enero de 2020</t>
  </si>
  <si>
    <t>Se actualiza el formato incluyendo campos como proceso y se desagregan las metas por Direcciones u Oficinas, a su vez la columna de linea base se elimina por cuanto en el formato de hoja de vida d eindicadores ya aparece registrada.</t>
  </si>
  <si>
    <t>Nombre</t>
  </si>
  <si>
    <t>Alvaro Augusto Amado C</t>
  </si>
  <si>
    <t>Oscar Ramiro Reyes Muñoz</t>
  </si>
  <si>
    <t>Sonia Luz Florez Gutierrez</t>
  </si>
  <si>
    <t>Cargo</t>
  </si>
  <si>
    <t>Profesional Universitario</t>
  </si>
  <si>
    <t>Profesional Especializado</t>
  </si>
  <si>
    <t>Directora</t>
  </si>
  <si>
    <t>Firma</t>
  </si>
  <si>
    <t>ELABORO</t>
  </si>
  <si>
    <t>REVISO</t>
  </si>
  <si>
    <t>APROBO</t>
  </si>
  <si>
    <t>METAS</t>
  </si>
  <si>
    <t>ACTIVIDADES</t>
  </si>
  <si>
    <t>Programado %</t>
  </si>
  <si>
    <t>SUBACTIVIDADES</t>
  </si>
  <si>
    <t>PRODUCTOS Y/O SERVICIOS</t>
  </si>
  <si>
    <t xml:space="preserve">Programado 3er Trimestre </t>
  </si>
  <si>
    <t xml:space="preserve">Programado 4to Trimestre </t>
  </si>
  <si>
    <t>SUBTOTAL</t>
  </si>
  <si>
    <t>TOTAL</t>
  </si>
  <si>
    <t>DIRECCIÓN DE PLANEACIÓN INSTITUCIONAL Y CALIDAD
SISTEMA INTEGRADO DE GESTIÓN
CONTROL DOCUMENTAL
FORMULACIÓN PLAN DE GESTION Y DESEMPEÑO INSTITUCIONAL
Codigo: SDS-PYC-FT-19 V.11</t>
  </si>
  <si>
    <t xml:space="preserve">Garantizar la atencion en la prestacion de los servicios de salud a partir de la gestion del riesgo basado en un modelo de salud y en una estrategia de atencion primaria en salud resolutiva </t>
  </si>
  <si>
    <t>Realizar seguimiento al nuevo modelo de atencion en salud para Bogota D.C. en el ambito de la Atencion Prehospitalaria</t>
  </si>
  <si>
    <t xml:space="preserve">Participar eficazmente del proceso de planeacion, preparacion y respuesta en situaciones de emergencias y desastres a nivel prehospitalario, hospitalario y comunitario.  </t>
  </si>
  <si>
    <t>PROCESO:GESTION DE URGENCIAS , EMERGENCIAS Y DESASTRES</t>
  </si>
  <si>
    <t xml:space="preserve">Realizar las acciones necesarias para el mantenimiento y sostenibilidad  del Sistema de Gestion de la SDS. </t>
  </si>
  <si>
    <t xml:space="preserve">Realizar  las acciones para el desarrollo de los componentes de Transparencia, acceso a la informacion y lucha contrra la corrupcion. </t>
  </si>
  <si>
    <t xml:space="preserve">Gestion de las urgencias que ingresan a traves del Numero Unico de Emergencias y desastres 123 ( Incluyendo el Programa APH), que deben contribuir en la atencion adecuada y oportuna de los pacientes que requieren atencion en situaciones de urgencia, emergencias y desastres reguladas. </t>
  </si>
  <si>
    <t xml:space="preserve">Porcentaje de participacion en el proceso de planeacion, preparacion y respuesta en situaciones de emergencias y desastres a nivel prehospitalario, hospitalario y comunitario.  </t>
  </si>
  <si>
    <t>DIRECCION DE URGENCIAS Y EMERGENCIAS EN SALUD</t>
  </si>
  <si>
    <t xml:space="preserve">Fortalecer los procesos que soporten la gestion misional y estrategica de la entidad, mediante acciones que promuevan la administracion transparente de los recursos, la gestion institucional, el ejercicio de la gobernanza y la corresponsabilidad social en salud. </t>
  </si>
  <si>
    <t>Reportar la Matriz de Monitoreo del PAAC</t>
  </si>
  <si>
    <t>Gestionar y monitorear el desempeño de los procesos</t>
  </si>
  <si>
    <t>Gestionar los riesgos del proceso</t>
  </si>
  <si>
    <t>Actualizar el Mapa de Riesgos</t>
  </si>
  <si>
    <t>Gestionar la Mejora Continua de los Procesos</t>
  </si>
  <si>
    <t>Gestionar los Planes de Mejora del proceso</t>
  </si>
  <si>
    <t>Documentos cargados</t>
  </si>
  <si>
    <t>Normatividad cargada</t>
  </si>
  <si>
    <t>Reporte PGDI</t>
  </si>
  <si>
    <t>Mapa de Riesgos Actualizado</t>
  </si>
  <si>
    <t>Planes de Mejora gestionados</t>
  </si>
  <si>
    <t>Informe de Salidas No Conformes</t>
  </si>
  <si>
    <t>PAAC 2020</t>
  </si>
  <si>
    <t>Matriz de Monitoreo PAAC revisada y consolidada</t>
  </si>
  <si>
    <t>Documentos publicados en la Pagina WEB de SDS</t>
  </si>
  <si>
    <t>CONSOLIDAR Y ANALIZAR LOS DATOS ESTADISTICOS Y EPIDEMIOLOGICOS  DERIVADOS DE LA ATENCIÓN DE LOS INCIDENTES QUE INGRESAN A TRAVES DE LA LINEA 123 U OTRAS VIAS DE ACCESO DEL CRUE, GARANTIZANDO LA CALIDAD DEL DATO QUE PERMITA LA TOMA DE DECISIONES.</t>
  </si>
  <si>
    <t>*Gestionar el 100% de los incidentes reportados a través de la Línea 123.</t>
  </si>
  <si>
    <t xml:space="preserve">
 *Realizar el monitoreo de los indicadores y datos estadisticos de la operación.(INFORME MENSUAL MES VENCIDO).
</t>
  </si>
  <si>
    <t>Consolidar, analizar y divulgar la información estadistica y epidemiologica resultante de la gestión de los incidentes que ingresan a traves de la linea 123 u otras vias de acceso.</t>
  </si>
  <si>
    <t>CONSOLIDAR Y ANALIZAR LOS DATOS ESTADISTICOS DE  LAS SOLICITUDES DE APOYO QUE LLEGAN A REFERENCIA Y CONTRARREFERENCIA DEL CRUE, GARANTIZANDO LA CALIDAD DEL DATO QUE PERMITA LA TOMA DE DECISIONES.</t>
  </si>
  <si>
    <t>Gestionar el 100% de las solicitudes de apoyo que llegan a Referencia y Contrarreferencia, del CRUE.</t>
  </si>
  <si>
    <t>Analisis causal de los casos de pacientes  no ubicados en los   prestadores de servicios de salud en los tiempos establecidos, que son gestionados por Referencia y contrarreferencia del CRUE</t>
  </si>
  <si>
    <t>REALIZAR ACTIVIDADES DE FORTALECIMIENTO DE COMPETENCIAS O SOCIALIZACION EN TEMAS RELACIONADOS CON REGULACION DE LA URGENCIA MEDICA, AL TALENTO HUMANO VINCULADO A LA GESTION DE LOS INCIDENTES O SOLICITUDES DE APOYO REPORTADOS AL CRUE Y ADELANTAR LAS RESPECTIVAS EVALUACIONES.</t>
  </si>
  <si>
    <t>Realizar Curso Taller Línea de Emergencias y Curso de Regulación de la Urgencia Médica como estrategia para la inducción y reinducción del talento humano vinculado a la gestión de  los incidentes o requerimientos reportados al CRUE. Incluyendo las evaluaciones Pre y Post test, su analisis y acciones de mejoras derivadas.</t>
  </si>
  <si>
    <t>DISEÑO, DESARROLLO Y ACTUALIZACIÓN DEL SISTEMA DE INFORMACIÓN DE LA DIRECCIÓN URGENCIAS Y EMERGENCIAS EN SALUD, SEGÚN NECESIDAD.</t>
  </si>
  <si>
    <t>Presentar los requerimientos  con respecto al sistema de información administrado por el Centro Comando, control comunicaciones y computo  que permitan la generación de datos con calidad según necesidades de la Dirección de Urgencias y emergencias en Salud y validar su funcionalidad.</t>
  </si>
  <si>
    <t xml:space="preserve">GESTIONAR EL ADECUADO FUNCIONAMIENTO Y OPERACIÓN DEL SISTEMA DE RADIOCOMUNICACIONES PARA LA ATENCIÓN DE URGENCIAS, EMERGENCIAS Y DESASTRES. </t>
  </si>
  <si>
    <t xml:space="preserve">Realizar mantenimientos preventivos y correctivos a los radios (portátiles, móviles y bases), consolas del sistema de radiocomunicaciones, según necesidad. </t>
  </si>
  <si>
    <t>Realizar la instalación y desinstalación de los radios (portátiles, móviles y bases), según necesidad.</t>
  </si>
  <si>
    <t xml:space="preserve">DISEÑAR E IMPLEMENTAR ESTRATEGIAS Y  HERRAMIENTAS QUE PERMITAN HACER SEGUIMIENTO A LA GESTION EFECTIVA DE LIBERACION DE CAMILLAS  DE LOS VEHICULOS  DE EMERGENCIAS DEL PROGRAMA DE ATENCION PREHOSPITALARIA EN LOS SERVICIOS DE URGENCIAS DE LAS IPS,  </t>
  </si>
  <si>
    <t xml:space="preserve">SEGUIMIENTO A LOS VEHICULOS DE EMERGENCIA EN EL MARCO DEL SISTEMA DE EMERGENCIAS MÉDICAS-SEM. </t>
  </si>
  <si>
    <t>Gestionar la liberación de camillas de los vehículos de emergencias del programa de Atención Prehospitalaria en los servicios de urgencias de las IPS, de acuerdo con el procedimiento establecido.</t>
  </si>
  <si>
    <t xml:space="preserve">Seguimiento a la estrategia de liberación definida por cada unidad funcional en el marco de los convenios . </t>
  </si>
  <si>
    <t>Seguimientos las condiciones del parque automotor de las unidades funcionales. (LISTAS DE CHEQUEO)</t>
  </si>
  <si>
    <t>Seguimiento a los estados de disponible, no operativo y no disponible de los vehículos de emergencia de las unidades funcionales.</t>
  </si>
  <si>
    <t>Reporte de cumplimiento de vehículos registrados en el SEM.</t>
  </si>
  <si>
    <t>Realizar seguimiento concurrente a la prestación del servicio por parte de los vehículos de emergencia.</t>
  </si>
  <si>
    <t>EVALUACION DE LA ADHERENCIA A LOS PROCEDIMIENTOS DE REGULACION DE LA URGENCIA MEDICA Y DE REFERENCIA Y CONTRARREFERENCIA.</t>
  </si>
  <si>
    <t>Realizar medición a la adherencia al Procedimiento Regulación de la Urgencia Médica, al talento humano vinculado a la gestión de  los incidentes o requerimientos reportados al CRUE, con el perfil "Médico Regulador de Urgencias".</t>
  </si>
  <si>
    <t>Realizar medición a la adherencia al Procedimiento Regulación de la Urgencia Médica, al talento humano vinculado a la gestión de  los incidentes o requerimientos reportados al CRUE, con el perfil "Enfermeros" y "Técnico Auxiliar de Regulación Médica".</t>
  </si>
  <si>
    <t>Indicadores de Gestion</t>
  </si>
  <si>
    <t>Informes de Monitoreo a Indicadores</t>
  </si>
  <si>
    <t>* Boletin
 *Informes balance social (anual)
*Informe de gestión (semestral)
*Rendición de cuentas (anual), 
*Actas de mesas técnicas de analisis de información.</t>
  </si>
  <si>
    <r>
      <t xml:space="preserve">Realizar Clínicas de Atención como estrategia para el fortalecimiento a la adherencia a los Procedimientos Regulación de la Urgencia Médica,  Referencia y Contrarreferencia y otras capacitaciones que fortalezcan el proceso. Incluyendo las evaluaciones Pre y Post test, su analisis y acciones de mejoras derivadas.
</t>
    </r>
    <r>
      <rPr>
        <b/>
        <sz val="12"/>
        <color indexed="40"/>
        <rFont val="Arial"/>
        <family val="2"/>
      </rPr>
      <t xml:space="preserve">AQUÍ CADA UNA DE LAS CAPACITACIONES </t>
    </r>
  </si>
  <si>
    <t>*Relacion de Capacitaciones o Clinicas
*Informe de Evaluaciones Pre y Post Test
*Relacion de acciones de mejora</t>
  </si>
  <si>
    <t>*Relacion de Curso taller o capacitaciones 
*Informe de Evaluaciones Pre y Post Test
*Relacion de acciones de mejora</t>
  </si>
  <si>
    <t>Radios instalados y desinstalados</t>
  </si>
  <si>
    <t>EVALUACIÓN Y SEGUIMIENTO DE LOS PLANES DE SALUD Y PRIMEROS AUXILIOS EN AGLOMERACIONES DE PÚBLICO DE ACUERDO CON LA NORMATIVIDAD DISTRITAL</t>
  </si>
  <si>
    <t>Evaluar y emitir concepto técnico  a los Planes de Salud y Primeros Auxilios para eventos de aglomeración de público de mediana y alta complejidad radicados en el Sistema Único de Gestión de Aglomeraciones (SUGA).</t>
  </si>
  <si>
    <t>ACTUALIZACIÓN, IMPLEMENTACIÓN Y EVALUACIÓN DE LOS PLANES DE GESTIÓN DEL RIESGO Y RESPUESTA INCLUYENDO EL COMPONENTE DE SALUD MENTAL.</t>
  </si>
  <si>
    <t xml:space="preserve">Participar en  los Comité Operativo de Emergencia (COE) y Puestos de Mando Unificado - PMU Distritales de convocatoria en respuesta a emergencias e impacto social.
</t>
  </si>
  <si>
    <t>Respuesta frente a la activación por incidentes reportados desde el Centro Operativo u otras entidades.</t>
  </si>
  <si>
    <t>FORMACIÓN Y FORTALECIMIENTO DE LOS ACTORES DEL SISTEMA DE EMERGENCIAS MÉDICAS</t>
  </si>
  <si>
    <t>Formación y fortalecimiento de los actores del Sistema de Emergencias Médicas en Primer Respondiente presencial o virtual y otros cursos o jornadas relacionadas con las urgencias, emergencias y desastres</t>
  </si>
  <si>
    <t>ASESORÍA, CAPACITACIÓN, ACOMPAÑAMIENTO Y EVALUACIÓN EN PLAN DE GESTIÓN DE RIESGO DE DESASTRES EN EL CONTEXTO HOSPITALARIO (GRDCH)</t>
  </si>
  <si>
    <t>Asistencia técnica a los referentes asignados de las (4) Cuatro Subredes Integradas de Servicios de Salud en la elaboración del Plan de Gestión de Riesgo de Desastres en el Contexto Hospitalario (PGRDCH) en el marco del Sistema de Emergencias Médicas - SEM.</t>
  </si>
  <si>
    <t>Asistencia técnica a los referentes asignados de las Instituciones Prestadoras de Servicios de Salud - IPS privadas en la elaboración del Plan de Gestión de Riesgo de Desastres en el Contexto Hospitalario (PGRDCH) en el marco del Sistema de Emergencias Médicas - SEM.</t>
  </si>
  <si>
    <t>Emisión del concepto de evaluación al Plan de Gestión de Riesgo de Desastres en el Contexto Hospitalario (PGRDCH) de acuerdo a la solicitudes recibidas durante la vigencia.</t>
  </si>
  <si>
    <t>Asistencia técnica en simulaciones o simulacros en el contexto de la implementación del Plan de Gestión de Riesgo de Desastres en el Contexto Hospitalario (PGRDCH) de acuerdo a la solicitudes recibidas durante la vigencia</t>
  </si>
  <si>
    <t>ASISTENCIA TÉCNICA EN MISIÓN MÉDICA EN EL MARCO DE LA RESOLUCIÓN 4481 DE 2012.</t>
  </si>
  <si>
    <t xml:space="preserve">Asistencia Técnica en Misión Médica en el marco de la Resolución 4481 de 2012. </t>
  </si>
  <si>
    <t xml:space="preserve">REVISAR, ACTUALIZAR O CREAR LA DOCUMENTACION RELACIONADA CON LOS PROCEDIMIENTOS ENMARCADOS EN EL SISTEMA DE EMERGENCIAS MEDICAS - SEM.  </t>
  </si>
  <si>
    <t>*Informe de seguimiento y modulo de referencia y contrarreferencia SIDCRUE</t>
  </si>
  <si>
    <t>*Informe de analisis de causalidades.</t>
  </si>
  <si>
    <t>Revisar, diseñar, desarrollar o actualizar el sistema de información propio de la Dirección Urgencias y Emergencias en Salud, según necesidad,  que permita la generación de datos con calidad.</t>
  </si>
  <si>
    <t>Actualizaciones de los Modulos</t>
  </si>
  <si>
    <t>Planes de Salud y Primeros Auxilios y el concepto con radicado emitido.</t>
  </si>
  <si>
    <t>Formato de Acta para PMU previo SDS-UED</t>
  </si>
  <si>
    <t>Formato de acta PMU en el evento</t>
  </si>
  <si>
    <t xml:space="preserve">Documento del plan 
Matriz de evaluación  construirla
Actas de las mesas técnicas
</t>
  </si>
  <si>
    <t>Acta de reunión SDS</t>
  </si>
  <si>
    <t>Conceptos emitidos</t>
  </si>
  <si>
    <t xml:space="preserve">Acta de revisión de información y tipología vehicular de las ambulancias del Programa de  Atención Prehospitalaria </t>
  </si>
  <si>
    <t>Lista de chequeo de insumos, dispositivos y equipos de vehículos de traslado asistencial medicalizado y básico</t>
  </si>
  <si>
    <t xml:space="preserve">TOTAL GENERAL </t>
  </si>
  <si>
    <t>reportes del funcionamiento del sistema de radiocomunicaciones en el marco del SEM</t>
  </si>
  <si>
    <t>Numero de personas capacitadas e instituciones asistentes</t>
  </si>
  <si>
    <t>Informe de seguimiento enviado por cada UF.</t>
  </si>
  <si>
    <t>PONDERADO</t>
  </si>
  <si>
    <t>Realizar el reporte POGD</t>
  </si>
  <si>
    <t xml:space="preserve"> </t>
  </si>
  <si>
    <t>Elaborar el Informe de las Salidas No Conformes Subdirección Gestión del riesgo.</t>
  </si>
  <si>
    <t xml:space="preserve">Formato Acta de incidente 
Acta de reunión </t>
  </si>
  <si>
    <r>
      <rPr>
        <sz val="12"/>
        <rFont val="Arial"/>
        <family val="2"/>
      </rPr>
      <t xml:space="preserve">Formato </t>
    </r>
    <r>
      <rPr>
        <sz val="12"/>
        <color indexed="8"/>
        <rFont val="Arial"/>
        <family val="2"/>
      </rPr>
      <t>Acta de incidente</t>
    </r>
  </si>
  <si>
    <t>Número de personas que asistieron 
Número de cursos realizados</t>
  </si>
  <si>
    <t>Listado de solicitudes y requerimientos  y reportes  generados por Premier One</t>
  </si>
  <si>
    <t xml:space="preserve">Evidencias físicas ( Actas, listados, etc.) de los mantenimientos realizados. </t>
  </si>
  <si>
    <t xml:space="preserve">Realizar seguimiento permanente al funcionamiento y operación del 100% del Sistema de Radiocomunicaciones para la atención de o  de urgencias, emergencias y desastres  en el marco del Sistema de Emergencias Medicas. </t>
  </si>
  <si>
    <t>Capacitación en funcionamiento y operación de sistema de radiocomunicaciones y códigos de operación.</t>
  </si>
  <si>
    <t>*Informe de gestión de liberación
*Planillas de liberación de camillas retenidas.</t>
  </si>
  <si>
    <t xml:space="preserve">Reporte ambulancias SEM
informe de 
consolidado notas aclaratorias.
</t>
  </si>
  <si>
    <t xml:space="preserve">Reporte ambulancias SEM
informe de 
consolidado notas aclaratorias.
Listado detallado de ambulancias que no cumplen sem
Informe general
</t>
  </si>
  <si>
    <t>Informe medición de la adherencia al procedimiento.</t>
  </si>
  <si>
    <t>Realizar medición a la adherencia al Procedimiento Regulación de la Urgencia Médica, al talento humano vinculado a la gestión de  los incidentes o requerimientos reportados al CRUE, con el perfil "Psicóloga"</t>
  </si>
  <si>
    <t xml:space="preserve">Realizar medición a la adherencia al Procedimiento de referencia y Contrarreferencia, al talento humano vinculado a la gestión de  los incidentes o requerimientos reportados al CRUE, con el perfil "Médico Regulador de Urgencias", enfermero y Técnico auxiliar en Regulación Médica </t>
  </si>
  <si>
    <t xml:space="preserve">Participar eficazmente del proceso de planeación, preparación y respuesta en situaciones de emergencias y desastres a nivel prehospitalaria, hospitalario y comunitario.  </t>
  </si>
  <si>
    <r>
      <t>Participar en las reuniones de Puestos de Mando Unificado - PMU previos a los eventos</t>
    </r>
    <r>
      <rPr>
        <sz val="12"/>
        <color indexed="8"/>
        <rFont val="Arial"/>
        <family val="2"/>
      </rPr>
      <t xml:space="preserve"> de alta complejidad de acuerdo con las convocatorias realizadas por el Instituto Distrital de Gestión de Riesgos y Cambio Climático (IDIGER-CC) y la Comisión Distrital de Seguridad, Comodidad y Convivencia en el Fútbol de Bogotá ( CDSCCFB)</t>
    </r>
  </si>
  <si>
    <t>Participar en los Puestos de Mando Unificado - PMU durante el evento de aglomeración de público de alta complejidad convocados por el Instituto Distrital de Gestión de Riesgos y Cambio Climático (IDIGER-CC).</t>
  </si>
  <si>
    <t>Actualizar o implementar y evaluar los Planes de Gestión del Riesgo y Estrategia Institucional de Respuesta - EIR- , incluyendo el componente de salud mental según necesidad, que sean necesarios de acuerdo con la dinámica Distrital.</t>
  </si>
  <si>
    <t>Asistencias Técnicas</t>
  </si>
  <si>
    <t>Consolidar, analizar y divulgar la información estadística y epidemiológica resultante de la gestión de los incidentes que ingresan a través de la línea 123 u otras vías de acceso.</t>
  </si>
  <si>
    <t>* Boletín
 *Informes balance social (anual)
*Informe de gestión (semestral)
*Rendición de cuentas (anual), 
*Actas de mesas técnicas de análisis de información.</t>
  </si>
  <si>
    <t xml:space="preserve">Realizar las acciones necesarias para el mantenimiento y sostenibilidad  del Sistema de Gestión de la SDS. </t>
  </si>
  <si>
    <t xml:space="preserve">Gestionar la documentación del Sistema de Gestión de la SDS. </t>
  </si>
  <si>
    <t>Revisar, actualizar o crear la documentación necesaria, relacionada con los procedimientos de Regulación de la Urgencia Médica, Referencia y Contrarreferencia de urgencias, Gestión de Transporte, Gestión de Radiocomunicaciones, Fortalecimiento de las competencias y Gestión del Riesgo en emergencias y desastres.</t>
  </si>
  <si>
    <t xml:space="preserve">Implementar acciones que contribuyan a la política de mejora normativa </t>
  </si>
  <si>
    <t>Realizar la actualización de la normatividad</t>
  </si>
  <si>
    <t>Formular el POGD de la Dirección</t>
  </si>
  <si>
    <t>Formulación PGDI</t>
  </si>
  <si>
    <t>Elaborar el informe de gestión del POGD</t>
  </si>
  <si>
    <t>Informes de Gestión</t>
  </si>
  <si>
    <t>Realizar la Autoevaluación de riesgos por proceso y de corrupción</t>
  </si>
  <si>
    <t>Autoevaluación de Riesgos y Controles</t>
  </si>
  <si>
    <t>Elaborar informes resultado de la gestión del Riesgo</t>
  </si>
  <si>
    <t>Informe de Gestión del Riesgo</t>
  </si>
  <si>
    <t xml:space="preserve">Gestionar informe de Revisión por la Dirección </t>
  </si>
  <si>
    <t>Diligenciar y remitir la información  que se requiere para el informe de Revisión por la Dirección</t>
  </si>
  <si>
    <t xml:space="preserve">Matrices diligenciadas, correos electrónicos, entre otros. </t>
  </si>
  <si>
    <t>Analizar la Percepción del Cliente</t>
  </si>
  <si>
    <t>Realizar el ejercicio de Percepción del Cliente por Proceso</t>
  </si>
  <si>
    <t xml:space="preserve">Actas de reunión, correos electrónicos, tablero de control, entre otros. </t>
  </si>
  <si>
    <t>Elaborar informe consolidado de Percepción del Cliente de los procesos</t>
  </si>
  <si>
    <t>Informe de Percepción del Cliente</t>
  </si>
  <si>
    <t xml:space="preserve">Realizar el consolidado, análisis causal, socialización y tratamiento de las Salidas No Conforme de los incidentes que ingresan a través de la Línea de </t>
  </si>
  <si>
    <t xml:space="preserve">Participar en las actividades para renovación de la Certificación del SGC de la SDS. </t>
  </si>
  <si>
    <t xml:space="preserve">Realizar las acciones para el desarrollo de los componentes de Transparencia, Acceso a la Información y Lucha contra la Corrupción. </t>
  </si>
  <si>
    <t>Gestionar y monitorear los componentes del Pan Anticorrupción y Atención al Ciudadano</t>
  </si>
  <si>
    <t>Realizar la formulación del PAAC</t>
  </si>
  <si>
    <t xml:space="preserve">Cumplimiento de los requisitos establecidos en el índice de Transparencia de la Entidades Publicas (ITEP) en la SDS. ( Si aplica) y los estándares de publicación y divulgación de la información </t>
  </si>
  <si>
    <t>Remitir oportunamente los documentos soporte en cumplimiento al TAIP - ITEP ( tener en cuenta los tiempos establecidos en la normatividad vigente , así como los definidos en el plan de trabajo.</t>
  </si>
  <si>
    <t>DIRECCIÓN DE PLANEACIÓN INSTITUCIONAL Y CALIDAD
SISTEMA INTEGRADO DE GESTIÓN
CONTROL DOCUMENTAL
FORMULACIÓN PLAN DE GESTION Y DESEMPEÑO INSTITUCIONAL
Código: SDS-PYC-FT-19 V.11</t>
  </si>
  <si>
    <t>Elaborado por: Álvaro Augusto Amado Camacho
Revisado por: Oscar Ramiro Reyes Muñoz
Aprobado por: Sonia luz Florez Gutierrez</t>
  </si>
  <si>
    <t>Productos solicitados por la DPIYC</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</si>
</sst>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1">
    <font>
      <sz val="11"/>
      <color theme="1"/>
      <name val="Calibri"/>
      <family val="2"/>
    </font>
    <font>
      <sz val="11"/>
      <color indexed="8"/>
      <name val="Calibri"/>
      <family val="2"/>
    </font>
    <font>
      <sz val="16"/>
      <color indexed="8"/>
      <name val="Arial"/>
      <family val="2"/>
    </font>
    <font>
      <sz val="12"/>
      <color indexed="8"/>
      <name val="Arial"/>
      <family val="2"/>
    </font>
    <font>
      <sz val="11"/>
      <color indexed="8"/>
      <name val="Arial"/>
      <family val="2"/>
    </font>
    <font>
      <b/>
      <sz val="20"/>
      <color indexed="8"/>
      <name val="Arial"/>
      <family val="2"/>
    </font>
    <font>
      <sz val="20"/>
      <color indexed="8"/>
      <name val="Arial"/>
      <family val="2"/>
    </font>
    <font>
      <sz val="20"/>
      <name val="Arial"/>
      <family val="2"/>
    </font>
    <font>
      <sz val="22"/>
      <color indexed="8"/>
      <name val="Arial"/>
      <family val="2"/>
    </font>
    <font>
      <b/>
      <sz val="16"/>
      <color indexed="8"/>
      <name val="Arial"/>
      <family val="2"/>
    </font>
    <font>
      <b/>
      <sz val="16"/>
      <color indexed="60"/>
      <name val="Arial"/>
      <family val="2"/>
    </font>
    <font>
      <b/>
      <sz val="12"/>
      <color indexed="8"/>
      <name val="Arial"/>
      <family val="2"/>
    </font>
    <font>
      <b/>
      <sz val="14"/>
      <color indexed="9"/>
      <name val="Arial"/>
      <family val="2"/>
    </font>
    <font>
      <b/>
      <sz val="11"/>
      <color indexed="8"/>
      <name val="Arial"/>
      <family val="2"/>
    </font>
    <font>
      <b/>
      <sz val="28"/>
      <color indexed="8"/>
      <name val="Arial"/>
      <family val="2"/>
    </font>
    <font>
      <b/>
      <sz val="12"/>
      <color indexed="9"/>
      <name val="Arial"/>
      <family val="2"/>
    </font>
    <font>
      <b/>
      <sz val="10"/>
      <color indexed="8"/>
      <name val="Arial"/>
      <family val="2"/>
    </font>
    <font>
      <b/>
      <sz val="12"/>
      <color indexed="40"/>
      <name val="Arial"/>
      <family val="2"/>
    </font>
    <font>
      <sz val="12"/>
      <name val="Arial"/>
      <family val="2"/>
    </font>
    <font>
      <b/>
      <sz val="16"/>
      <color indexed="9"/>
      <name val="Arial"/>
      <family val="2"/>
    </font>
    <font>
      <sz val="16"/>
      <color indexed="8"/>
      <name val="Calibri"/>
      <family val="2"/>
    </font>
    <font>
      <b/>
      <sz val="14"/>
      <color indexed="8"/>
      <name val="Arial"/>
      <family val="2"/>
    </font>
    <font>
      <b/>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6"/>
      <color theme="1"/>
      <name val="Arial"/>
      <family val="2"/>
    </font>
    <font>
      <sz val="11"/>
      <color theme="1"/>
      <name val="Arial"/>
      <family val="2"/>
    </font>
    <font>
      <b/>
      <sz val="20"/>
      <color theme="1"/>
      <name val="Arial"/>
      <family val="2"/>
    </font>
    <font>
      <sz val="20"/>
      <color theme="1"/>
      <name val="Arial"/>
      <family val="2"/>
    </font>
    <font>
      <sz val="22"/>
      <color theme="1"/>
      <name val="Arial"/>
      <family val="2"/>
    </font>
    <font>
      <b/>
      <sz val="12"/>
      <color theme="1"/>
      <name val="Arial"/>
      <family val="2"/>
    </font>
    <font>
      <sz val="12"/>
      <color theme="1"/>
      <name val="Arial"/>
      <family val="2"/>
    </font>
    <font>
      <b/>
      <sz val="11"/>
      <color theme="1"/>
      <name val="Arial"/>
      <family val="2"/>
    </font>
    <font>
      <b/>
      <sz val="12"/>
      <color theme="0"/>
      <name val="Arial"/>
      <family val="2"/>
    </font>
    <font>
      <b/>
      <sz val="10"/>
      <color theme="1"/>
      <name val="Arial"/>
      <family val="2"/>
    </font>
    <font>
      <b/>
      <sz val="16"/>
      <color theme="1"/>
      <name val="Arial"/>
      <family val="2"/>
    </font>
    <font>
      <b/>
      <sz val="16"/>
      <color theme="0"/>
      <name val="Arial"/>
      <family val="2"/>
    </font>
    <font>
      <b/>
      <sz val="14"/>
      <color theme="0"/>
      <name val="Arial"/>
      <family val="2"/>
    </font>
    <font>
      <sz val="16"/>
      <color theme="1"/>
      <name val="Calibri"/>
      <family val="2"/>
    </font>
    <font>
      <b/>
      <sz val="14"/>
      <color theme="1"/>
      <name val="Arial"/>
      <family val="2"/>
    </font>
    <font>
      <b/>
      <sz val="2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8" tint="-0.24997000396251678"/>
        <bgColor indexed="64"/>
      </patternFill>
    </fill>
    <fill>
      <patternFill patternType="solid">
        <fgColor rgb="FF00B0F0"/>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bottom style="thin"/>
    </border>
    <border>
      <left style="medium"/>
      <right style="medium"/>
      <top style="thin"/>
      <bottom/>
    </border>
    <border>
      <left style="medium"/>
      <right style="medium"/>
      <top/>
      <bottom style="thin"/>
    </border>
    <border>
      <left style="thin"/>
      <right style="thin"/>
      <top/>
      <bottom style="thin"/>
    </border>
    <border>
      <left style="thin"/>
      <right style="thin"/>
      <top/>
      <bottom/>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44">
    <xf numFmtId="0" fontId="0" fillId="0" borderId="0" xfId="0" applyFont="1" applyAlignment="1">
      <alignment/>
    </xf>
    <xf numFmtId="0" fontId="55" fillId="0" borderId="10" xfId="0" applyFont="1" applyBorder="1" applyAlignment="1">
      <alignment horizontal="center" vertical="center" wrapText="1"/>
    </xf>
    <xf numFmtId="0" fontId="55" fillId="0" borderId="11" xfId="0" applyFont="1" applyBorder="1" applyAlignment="1">
      <alignment vertical="center" wrapText="1"/>
    </xf>
    <xf numFmtId="0" fontId="56" fillId="0" borderId="0" xfId="0" applyFont="1" applyAlignment="1">
      <alignment horizontal="center"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8" fillId="0" borderId="0" xfId="0" applyFont="1" applyAlignment="1">
      <alignment vertical="center" wrapText="1"/>
    </xf>
    <xf numFmtId="0" fontId="7" fillId="0" borderId="12" xfId="0" applyFont="1" applyBorder="1" applyAlignment="1">
      <alignment horizontal="left" vertical="center"/>
    </xf>
    <xf numFmtId="0" fontId="59" fillId="0" borderId="0" xfId="0" applyFont="1" applyAlignment="1">
      <alignment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Border="1" applyAlignment="1">
      <alignment horizontal="center" vertical="center" wrapText="1"/>
    </xf>
    <xf numFmtId="0" fontId="55" fillId="0" borderId="0" xfId="0" applyFont="1" applyAlignment="1">
      <alignment vertical="center" wrapText="1"/>
    </xf>
    <xf numFmtId="0" fontId="60" fillId="33" borderId="12" xfId="0" applyFont="1" applyFill="1" applyBorder="1" applyAlignment="1">
      <alignment horizontal="center" vertical="center" wrapText="1"/>
    </xf>
    <xf numFmtId="0" fontId="60" fillId="0" borderId="12" xfId="0" applyFont="1" applyBorder="1" applyAlignment="1">
      <alignment horizontal="center" vertical="center" wrapText="1"/>
    </xf>
    <xf numFmtId="9" fontId="61" fillId="0" borderId="0" xfId="53" applyNumberFormat="1" applyFont="1" applyAlignment="1">
      <alignment horizontal="center" vertical="center" wrapText="1"/>
    </xf>
    <xf numFmtId="0" fontId="61" fillId="0" borderId="0" xfId="0" applyFont="1" applyAlignment="1">
      <alignment vertical="center" wrapText="1"/>
    </xf>
    <xf numFmtId="0" fontId="56" fillId="0" borderId="0" xfId="0" applyFont="1" applyAlignment="1">
      <alignment vertical="center" wrapText="1"/>
    </xf>
    <xf numFmtId="0" fontId="62" fillId="0" borderId="14" xfId="0" applyFont="1" applyBorder="1" applyAlignment="1">
      <alignment vertical="center" wrapText="1"/>
    </xf>
    <xf numFmtId="0" fontId="61" fillId="0" borderId="12" xfId="0" applyFont="1" applyBorder="1" applyAlignment="1">
      <alignment vertical="center" wrapText="1"/>
    </xf>
    <xf numFmtId="0" fontId="60" fillId="0" borderId="14" xfId="0" applyFont="1" applyBorder="1" applyAlignment="1">
      <alignment horizontal="center" vertical="center"/>
    </xf>
    <xf numFmtId="0" fontId="60" fillId="0" borderId="12" xfId="0" applyFont="1" applyBorder="1" applyAlignment="1">
      <alignment horizontal="center" vertical="center"/>
    </xf>
    <xf numFmtId="0" fontId="11" fillId="0" borderId="12" xfId="0" applyFont="1" applyBorder="1" applyAlignment="1">
      <alignment horizontal="center" vertical="center" wrapText="1"/>
    </xf>
    <xf numFmtId="164" fontId="60" fillId="0" borderId="12" xfId="53" applyNumberFormat="1" applyFont="1" applyBorder="1" applyAlignment="1">
      <alignment horizontal="center" vertical="center"/>
    </xf>
    <xf numFmtId="0" fontId="60" fillId="34" borderId="12" xfId="0" applyFont="1" applyFill="1" applyBorder="1" applyAlignment="1">
      <alignment horizontal="center" vertical="center"/>
    </xf>
    <xf numFmtId="0" fontId="61" fillId="0" borderId="12" xfId="0" applyFont="1" applyBorder="1" applyAlignment="1">
      <alignment horizontal="center" vertical="center"/>
    </xf>
    <xf numFmtId="0" fontId="63" fillId="35" borderId="12" xfId="0" applyFont="1" applyFill="1" applyBorder="1" applyAlignment="1">
      <alignment horizontal="center" vertical="center"/>
    </xf>
    <xf numFmtId="0" fontId="60" fillId="0" borderId="12" xfId="0" applyFont="1" applyBorder="1" applyAlignment="1">
      <alignment horizontal="center" vertical="center" wrapText="1"/>
    </xf>
    <xf numFmtId="0" fontId="64" fillId="0" borderId="12" xfId="0" applyFont="1" applyBorder="1" applyAlignment="1">
      <alignment horizontal="center" vertical="center" wrapText="1"/>
    </xf>
    <xf numFmtId="0" fontId="60" fillId="0" borderId="14" xfId="0" applyFont="1" applyBorder="1" applyAlignment="1">
      <alignment horizontal="justify" vertical="center" wrapText="1"/>
    </xf>
    <xf numFmtId="0" fontId="60" fillId="0" borderId="15" xfId="0" applyFont="1" applyBorder="1" applyAlignment="1">
      <alignment horizontal="center" vertical="center"/>
    </xf>
    <xf numFmtId="0" fontId="60" fillId="33" borderId="12" xfId="0" applyFont="1" applyFill="1" applyBorder="1" applyAlignment="1">
      <alignment horizontal="center" vertical="center"/>
    </xf>
    <xf numFmtId="2" fontId="60" fillId="33" borderId="12" xfId="0" applyNumberFormat="1" applyFont="1" applyFill="1" applyBorder="1" applyAlignment="1">
      <alignment horizontal="center" vertical="center"/>
    </xf>
    <xf numFmtId="0" fontId="60" fillId="0" borderId="12" xfId="0" applyFont="1" applyBorder="1" applyAlignment="1">
      <alignment vertical="center" wrapText="1"/>
    </xf>
    <xf numFmtId="0" fontId="62" fillId="0" borderId="12" xfId="0" applyFont="1" applyBorder="1" applyAlignment="1">
      <alignment horizontal="center" vertical="center"/>
    </xf>
    <xf numFmtId="0" fontId="62" fillId="33" borderId="12" xfId="0" applyFont="1" applyFill="1" applyBorder="1" applyAlignment="1">
      <alignment horizontal="center" vertical="center" wrapText="1"/>
    </xf>
    <xf numFmtId="0" fontId="61" fillId="33" borderId="12" xfId="0" applyFont="1" applyFill="1" applyBorder="1" applyAlignment="1">
      <alignment horizontal="justify" vertical="center" wrapText="1"/>
    </xf>
    <xf numFmtId="0" fontId="18" fillId="33" borderId="12" xfId="0" applyFont="1" applyFill="1" applyBorder="1" applyAlignment="1">
      <alignment horizontal="justify" vertical="center" wrapText="1"/>
    </xf>
    <xf numFmtId="2" fontId="60" fillId="33" borderId="12" xfId="0" applyNumberFormat="1" applyFont="1" applyFill="1" applyBorder="1" applyAlignment="1">
      <alignment horizontal="center" vertical="center" wrapText="1"/>
    </xf>
    <xf numFmtId="0" fontId="60" fillId="33" borderId="12" xfId="0" applyFont="1" applyFill="1" applyBorder="1" applyAlignment="1">
      <alignment horizontal="justify" vertical="center" wrapText="1"/>
    </xf>
    <xf numFmtId="10" fontId="60" fillId="0" borderId="12" xfId="53" applyNumberFormat="1" applyFont="1" applyBorder="1" applyAlignment="1">
      <alignment horizontal="center" vertical="center"/>
    </xf>
    <xf numFmtId="0" fontId="65" fillId="36" borderId="14" xfId="0" applyFont="1" applyFill="1" applyBorder="1" applyAlignment="1">
      <alignment horizontal="center" vertical="center"/>
    </xf>
    <xf numFmtId="0" fontId="66" fillId="35" borderId="12" xfId="0" applyFont="1" applyFill="1" applyBorder="1" applyAlignment="1">
      <alignment horizontal="center" vertical="center"/>
    </xf>
    <xf numFmtId="9" fontId="60" fillId="34" borderId="12" xfId="53" applyFont="1" applyFill="1" applyBorder="1" applyAlignment="1">
      <alignment horizontal="center" vertical="center"/>
    </xf>
    <xf numFmtId="10" fontId="60" fillId="34" borderId="12" xfId="53" applyNumberFormat="1" applyFont="1" applyFill="1" applyBorder="1" applyAlignment="1">
      <alignment horizontal="center" vertical="center"/>
    </xf>
    <xf numFmtId="0" fontId="61" fillId="33" borderId="12" xfId="0" applyFont="1" applyFill="1" applyBorder="1" applyAlignment="1">
      <alignment vertical="center" wrapText="1"/>
    </xf>
    <xf numFmtId="0" fontId="61" fillId="33" borderId="12" xfId="0" applyFont="1" applyFill="1" applyBorder="1" applyAlignment="1">
      <alignment horizontal="center" vertical="center"/>
    </xf>
    <xf numFmtId="0" fontId="61" fillId="34" borderId="12" xfId="0" applyFont="1" applyFill="1" applyBorder="1" applyAlignment="1">
      <alignment horizontal="center" vertical="center"/>
    </xf>
    <xf numFmtId="0" fontId="61" fillId="33" borderId="12" xfId="0" applyFont="1" applyFill="1" applyBorder="1" applyAlignment="1">
      <alignment horizontal="center" vertical="center" wrapText="1"/>
    </xf>
    <xf numFmtId="2" fontId="60" fillId="33" borderId="12" xfId="0" applyNumberFormat="1" applyFont="1" applyFill="1" applyBorder="1" applyAlignment="1">
      <alignment horizontal="justify" vertical="center" wrapText="1"/>
    </xf>
    <xf numFmtId="2" fontId="61" fillId="33" borderId="12" xfId="0" applyNumberFormat="1" applyFont="1" applyFill="1" applyBorder="1" applyAlignment="1">
      <alignment vertical="center" wrapText="1"/>
    </xf>
    <xf numFmtId="2" fontId="61" fillId="33" borderId="12" xfId="0" applyNumberFormat="1" applyFont="1" applyFill="1" applyBorder="1" applyAlignment="1">
      <alignment horizontal="center" vertical="center" wrapText="1"/>
    </xf>
    <xf numFmtId="9" fontId="61" fillId="34" borderId="12" xfId="53" applyFont="1" applyFill="1" applyBorder="1" applyAlignment="1">
      <alignment horizontal="center" vertical="center" wrapText="1"/>
    </xf>
    <xf numFmtId="9" fontId="67" fillId="23" borderId="13" xfId="0" applyNumberFormat="1" applyFont="1" applyFill="1" applyBorder="1" applyAlignment="1">
      <alignment horizontal="center" vertical="center" wrapText="1"/>
    </xf>
    <xf numFmtId="9" fontId="56" fillId="0" borderId="0" xfId="0" applyNumberFormat="1" applyFont="1" applyAlignment="1">
      <alignment vertical="center" wrapText="1"/>
    </xf>
    <xf numFmtId="0" fontId="60" fillId="33" borderId="16" xfId="0" applyFont="1" applyFill="1" applyBorder="1" applyAlignment="1">
      <alignment vertical="center" wrapText="1"/>
    </xf>
    <xf numFmtId="0" fontId="22" fillId="33" borderId="12" xfId="0" applyFont="1" applyFill="1" applyBorder="1" applyAlignment="1">
      <alignment horizontal="center" vertical="center" wrapText="1"/>
    </xf>
    <xf numFmtId="0" fontId="62" fillId="0" borderId="12" xfId="0" applyFont="1" applyBorder="1" applyAlignment="1">
      <alignment horizontal="center" vertical="center" wrapText="1"/>
    </xf>
    <xf numFmtId="0" fontId="61" fillId="0" borderId="12" xfId="0" applyFont="1" applyBorder="1" applyAlignment="1">
      <alignment horizontal="center" vertical="center" wrapText="1"/>
    </xf>
    <xf numFmtId="0" fontId="60" fillId="33" borderId="16" xfId="0" applyFont="1" applyFill="1" applyBorder="1" applyAlignment="1">
      <alignment horizontal="center" vertical="center" wrapText="1"/>
    </xf>
    <xf numFmtId="164" fontId="60" fillId="33" borderId="16" xfId="53" applyNumberFormat="1" applyFont="1" applyFill="1" applyBorder="1" applyAlignment="1">
      <alignment horizontal="center" vertical="center"/>
    </xf>
    <xf numFmtId="0" fontId="60" fillId="0" borderId="12" xfId="0" applyFont="1" applyBorder="1" applyAlignment="1">
      <alignment horizontal="center" vertical="center" wrapText="1"/>
    </xf>
    <xf numFmtId="164" fontId="60" fillId="0" borderId="16" xfId="53" applyNumberFormat="1" applyFont="1" applyBorder="1" applyAlignment="1">
      <alignment horizontal="center" vertical="center"/>
    </xf>
    <xf numFmtId="9" fontId="60" fillId="33" borderId="16" xfId="53" applyFont="1" applyFill="1" applyBorder="1" applyAlignment="1">
      <alignment horizontal="center" vertical="center"/>
    </xf>
    <xf numFmtId="0" fontId="64" fillId="33" borderId="12" xfId="0" applyFont="1" applyFill="1" applyBorder="1" applyAlignment="1">
      <alignment horizontal="justify" vertical="center" wrapText="1"/>
    </xf>
    <xf numFmtId="10" fontId="60" fillId="33" borderId="16" xfId="53" applyNumberFormat="1" applyFont="1" applyFill="1" applyBorder="1" applyAlignment="1">
      <alignment horizontal="center" vertical="center"/>
    </xf>
    <xf numFmtId="10" fontId="61" fillId="0" borderId="12" xfId="53" applyNumberFormat="1" applyFont="1" applyBorder="1" applyAlignment="1">
      <alignment horizontal="center" vertical="center"/>
    </xf>
    <xf numFmtId="10" fontId="60" fillId="33" borderId="12" xfId="53" applyNumberFormat="1" applyFont="1" applyFill="1" applyBorder="1" applyAlignment="1">
      <alignment horizontal="center" vertical="center"/>
    </xf>
    <xf numFmtId="10" fontId="63" fillId="35" borderId="12" xfId="53" applyNumberFormat="1" applyFont="1" applyFill="1" applyBorder="1" applyAlignment="1">
      <alignment horizontal="center"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0" fontId="61" fillId="0" borderId="0" xfId="0" applyFont="1" applyAlignment="1">
      <alignment vertical="center"/>
    </xf>
    <xf numFmtId="0" fontId="55" fillId="0" borderId="0" xfId="0" applyFont="1" applyAlignment="1">
      <alignment vertical="center"/>
    </xf>
    <xf numFmtId="0" fontId="68" fillId="0" borderId="0" xfId="0" applyFont="1" applyAlignment="1">
      <alignment vertical="center"/>
    </xf>
    <xf numFmtId="2" fontId="63" fillId="35" borderId="12" xfId="0" applyNumberFormat="1" applyFont="1" applyFill="1" applyBorder="1" applyAlignment="1">
      <alignment horizontal="center" vertical="center"/>
    </xf>
    <xf numFmtId="0" fontId="61" fillId="0" borderId="18" xfId="0" applyFont="1" applyBorder="1" applyAlignment="1">
      <alignment vertical="center"/>
    </xf>
    <xf numFmtId="0" fontId="69" fillId="37" borderId="0" xfId="0" applyFont="1" applyFill="1" applyAlignment="1">
      <alignment horizontal="right" vertical="center"/>
    </xf>
    <xf numFmtId="10" fontId="60" fillId="37" borderId="0" xfId="53" applyNumberFormat="1" applyFont="1" applyFill="1" applyAlignment="1">
      <alignment horizontal="center" vertical="center"/>
    </xf>
    <xf numFmtId="10" fontId="61" fillId="37" borderId="0" xfId="53" applyNumberFormat="1" applyFont="1" applyFill="1" applyAlignment="1">
      <alignment vertical="center"/>
    </xf>
    <xf numFmtId="10" fontId="60" fillId="38" borderId="12" xfId="53" applyNumberFormat="1" applyFont="1" applyFill="1" applyBorder="1" applyAlignment="1">
      <alignment horizontal="center" vertical="center"/>
    </xf>
    <xf numFmtId="10" fontId="18" fillId="38" borderId="12" xfId="53" applyNumberFormat="1" applyFont="1" applyFill="1" applyBorder="1" applyAlignment="1">
      <alignment horizontal="justify" vertical="center" wrapText="1"/>
    </xf>
    <xf numFmtId="10" fontId="60" fillId="38" borderId="12" xfId="53" applyNumberFormat="1" applyFont="1" applyFill="1" applyBorder="1" applyAlignment="1">
      <alignment vertical="center"/>
    </xf>
    <xf numFmtId="10" fontId="66" fillId="35" borderId="12" xfId="53" applyNumberFormat="1" applyFont="1" applyFill="1" applyBorder="1" applyAlignment="1">
      <alignment horizontal="center" vertical="center"/>
    </xf>
    <xf numFmtId="0" fontId="60" fillId="0" borderId="12"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14" fontId="56" fillId="0" borderId="12" xfId="0" applyNumberFormat="1" applyFont="1" applyBorder="1" applyAlignment="1">
      <alignment horizontal="center" vertical="center" wrapText="1"/>
    </xf>
    <xf numFmtId="0" fontId="61" fillId="0" borderId="12" xfId="0" applyFont="1" applyBorder="1" applyAlignment="1">
      <alignment horizontal="justify" vertical="center" wrapText="1"/>
    </xf>
    <xf numFmtId="0" fontId="61" fillId="0" borderId="13" xfId="0" applyFont="1" applyBorder="1" applyAlignment="1">
      <alignment horizontal="justify" vertical="center" wrapText="1"/>
    </xf>
    <xf numFmtId="0" fontId="61" fillId="0" borderId="21" xfId="0" applyFont="1" applyBorder="1" applyAlignment="1">
      <alignment horizontal="center" vertical="center" wrapText="1"/>
    </xf>
    <xf numFmtId="0" fontId="57" fillId="0" borderId="14" xfId="0" applyFont="1" applyBorder="1" applyAlignment="1">
      <alignment horizontal="left" vertical="center" wrapText="1"/>
    </xf>
    <xf numFmtId="0" fontId="57" fillId="0" borderId="12" xfId="0" applyFont="1" applyBorder="1" applyAlignment="1">
      <alignment horizontal="left" vertical="center" wrapText="1"/>
    </xf>
    <xf numFmtId="0" fontId="62" fillId="0" borderId="14"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1" fillId="0" borderId="15" xfId="0" applyFont="1" applyBorder="1" applyAlignment="1">
      <alignment horizontal="justify" vertical="center" wrapText="1"/>
    </xf>
    <xf numFmtId="0" fontId="61" fillId="0" borderId="22" xfId="0" applyFont="1" applyBorder="1" applyAlignment="1">
      <alignment horizontal="justify" vertical="center" wrapText="1"/>
    </xf>
    <xf numFmtId="0" fontId="61" fillId="0" borderId="23" xfId="0" applyFont="1" applyBorder="1" applyAlignment="1">
      <alignment horizontal="justify" vertical="center" wrapText="1"/>
    </xf>
    <xf numFmtId="0" fontId="61" fillId="0" borderId="24" xfId="0" applyFont="1" applyBorder="1" applyAlignment="1">
      <alignment horizontal="justify" vertical="center" wrapText="1"/>
    </xf>
    <xf numFmtId="9" fontId="60" fillId="0" borderId="16" xfId="53" applyFont="1" applyBorder="1" applyAlignment="1">
      <alignment horizontal="center" vertical="center"/>
    </xf>
    <xf numFmtId="9" fontId="60" fillId="0" borderId="25" xfId="53" applyFont="1" applyBorder="1" applyAlignment="1">
      <alignment horizontal="center" vertical="center"/>
    </xf>
    <xf numFmtId="9" fontId="60" fillId="33" borderId="16" xfId="53" applyFont="1" applyFill="1" applyBorder="1" applyAlignment="1">
      <alignment horizontal="center" vertical="center"/>
    </xf>
    <xf numFmtId="9" fontId="60" fillId="33" borderId="25" xfId="53" applyFont="1" applyFill="1" applyBorder="1" applyAlignment="1">
      <alignment horizontal="center" vertical="center"/>
    </xf>
    <xf numFmtId="9" fontId="60" fillId="33" borderId="26" xfId="53" applyFont="1" applyFill="1" applyBorder="1" applyAlignment="1">
      <alignment horizontal="center" vertical="center"/>
    </xf>
    <xf numFmtId="0" fontId="60" fillId="0" borderId="14" xfId="0" applyFont="1" applyBorder="1" applyAlignment="1">
      <alignment horizontal="center" vertical="center" wrapText="1"/>
    </xf>
    <xf numFmtId="0" fontId="64" fillId="0" borderId="12" xfId="0" applyFont="1" applyBorder="1" applyAlignment="1">
      <alignment horizontal="justify" vertical="center" wrapText="1"/>
    </xf>
    <xf numFmtId="9" fontId="60" fillId="0" borderId="26" xfId="53" applyFont="1" applyBorder="1" applyAlignment="1">
      <alignment horizontal="center" vertical="center"/>
    </xf>
    <xf numFmtId="0" fontId="64" fillId="33" borderId="16" xfId="0" applyFont="1" applyFill="1" applyBorder="1" applyAlignment="1">
      <alignment horizontal="justify" vertical="center" wrapText="1"/>
    </xf>
    <xf numFmtId="0" fontId="64" fillId="33" borderId="26" xfId="0" applyFont="1" applyFill="1" applyBorder="1" applyAlignment="1">
      <alignment horizontal="justify" vertical="center" wrapText="1"/>
    </xf>
    <xf numFmtId="0" fontId="64" fillId="33" borderId="25" xfId="0" applyFont="1" applyFill="1" applyBorder="1" applyAlignment="1">
      <alignment horizontal="justify" vertical="center" wrapText="1"/>
    </xf>
    <xf numFmtId="10" fontId="60" fillId="33" borderId="16" xfId="53" applyNumberFormat="1" applyFont="1" applyFill="1" applyBorder="1" applyAlignment="1">
      <alignment horizontal="center" vertical="center"/>
    </xf>
    <xf numFmtId="10" fontId="60" fillId="33" borderId="26" xfId="53" applyNumberFormat="1" applyFont="1" applyFill="1" applyBorder="1" applyAlignment="1">
      <alignment horizontal="center" vertical="center"/>
    </xf>
    <xf numFmtId="10" fontId="60" fillId="33" borderId="25" xfId="53" applyNumberFormat="1" applyFont="1" applyFill="1" applyBorder="1" applyAlignment="1">
      <alignment horizontal="center" vertical="center"/>
    </xf>
    <xf numFmtId="0" fontId="70" fillId="35" borderId="17" xfId="0" applyFont="1" applyFill="1" applyBorder="1" applyAlignment="1">
      <alignment horizontal="center" vertical="center"/>
    </xf>
    <xf numFmtId="0" fontId="70" fillId="35" borderId="0" xfId="0" applyFont="1" applyFill="1" applyBorder="1" applyAlignment="1">
      <alignment horizontal="center" vertical="center"/>
    </xf>
    <xf numFmtId="0" fontId="60" fillId="0" borderId="15" xfId="0" applyFont="1" applyBorder="1" applyAlignment="1">
      <alignment horizontal="center" vertical="center" wrapText="1"/>
    </xf>
    <xf numFmtId="0" fontId="60" fillId="0" borderId="27" xfId="0" applyFont="1" applyBorder="1" applyAlignment="1">
      <alignment horizontal="center" vertical="center" wrapText="1"/>
    </xf>
    <xf numFmtId="0" fontId="64" fillId="0" borderId="16" xfId="0" applyFont="1" applyBorder="1" applyAlignment="1">
      <alignment horizontal="justify" vertical="center" wrapText="1"/>
    </xf>
    <xf numFmtId="0" fontId="64" fillId="0" borderId="25" xfId="0" applyFont="1" applyBorder="1" applyAlignment="1">
      <alignment horizontal="justify" vertical="center" wrapText="1"/>
    </xf>
    <xf numFmtId="0" fontId="64" fillId="33" borderId="12" xfId="0" applyFont="1" applyFill="1" applyBorder="1" applyAlignment="1">
      <alignment horizontal="justify" vertical="center" wrapText="1"/>
    </xf>
    <xf numFmtId="0" fontId="60" fillId="33" borderId="16" xfId="0" applyFont="1" applyFill="1" applyBorder="1" applyAlignment="1">
      <alignment horizontal="center" vertical="center" wrapText="1"/>
    </xf>
    <xf numFmtId="0" fontId="60" fillId="33" borderId="25" xfId="0" applyFont="1" applyFill="1" applyBorder="1" applyAlignment="1">
      <alignment horizontal="center" vertical="center" wrapText="1"/>
    </xf>
    <xf numFmtId="0" fontId="60" fillId="33" borderId="26" xfId="0" applyFont="1" applyFill="1" applyBorder="1" applyAlignment="1">
      <alignment horizontal="center" vertical="center" wrapText="1"/>
    </xf>
    <xf numFmtId="9" fontId="60" fillId="33" borderId="16" xfId="53" applyNumberFormat="1" applyFont="1" applyFill="1" applyBorder="1" applyAlignment="1">
      <alignment horizontal="center" vertical="center"/>
    </xf>
    <xf numFmtId="9" fontId="60" fillId="33" borderId="26" xfId="53" applyNumberFormat="1" applyFont="1" applyFill="1" applyBorder="1" applyAlignment="1">
      <alignment horizontal="center" vertical="center"/>
    </xf>
    <xf numFmtId="9" fontId="60" fillId="33" borderId="25" xfId="53" applyNumberFormat="1" applyFont="1" applyFill="1" applyBorder="1" applyAlignment="1">
      <alignment horizontal="center" vertical="center"/>
    </xf>
    <xf numFmtId="164" fontId="60" fillId="33" borderId="16" xfId="53" applyNumberFormat="1" applyFont="1" applyFill="1" applyBorder="1" applyAlignment="1">
      <alignment horizontal="center" vertical="center"/>
    </xf>
    <xf numFmtId="164" fontId="60" fillId="33" borderId="26" xfId="53" applyNumberFormat="1" applyFont="1" applyFill="1" applyBorder="1" applyAlignment="1">
      <alignment horizontal="center" vertical="center"/>
    </xf>
    <xf numFmtId="0" fontId="60" fillId="0" borderId="12" xfId="0" applyFont="1" applyBorder="1" applyAlignment="1">
      <alignment horizontal="center" vertical="center" wrapText="1"/>
    </xf>
    <xf numFmtId="164" fontId="60" fillId="0" borderId="16" xfId="53" applyNumberFormat="1" applyFont="1" applyBorder="1" applyAlignment="1">
      <alignment horizontal="center" vertical="center"/>
    </xf>
    <xf numFmtId="164" fontId="60" fillId="0" borderId="26" xfId="53" applyNumberFormat="1" applyFont="1" applyBorder="1" applyAlignment="1">
      <alignment horizontal="center" vertical="center"/>
    </xf>
    <xf numFmtId="164" fontId="60" fillId="0" borderId="25" xfId="53" applyNumberFormat="1" applyFont="1" applyBorder="1" applyAlignment="1">
      <alignment horizontal="center" vertical="center"/>
    </xf>
    <xf numFmtId="0" fontId="60" fillId="0" borderId="22" xfId="0" applyFont="1" applyBorder="1" applyAlignment="1">
      <alignment horizontal="center" vertical="center" wrapText="1"/>
    </xf>
    <xf numFmtId="9" fontId="60" fillId="33" borderId="16" xfId="53" applyFont="1" applyFill="1" applyBorder="1" applyAlignment="1">
      <alignment horizontal="center" vertical="center" wrapText="1"/>
    </xf>
    <xf numFmtId="9" fontId="60" fillId="33" borderId="26" xfId="53" applyFont="1" applyFill="1" applyBorder="1" applyAlignment="1">
      <alignment horizontal="center" vertical="center" wrapText="1"/>
    </xf>
    <xf numFmtId="9" fontId="60" fillId="33" borderId="25" xfId="53"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0</xdr:row>
      <xdr:rowOff>85725</xdr:rowOff>
    </xdr:from>
    <xdr:to>
      <xdr:col>9</xdr:col>
      <xdr:colOff>1695450</xdr:colOff>
      <xdr:row>0</xdr:row>
      <xdr:rowOff>1285875</xdr:rowOff>
    </xdr:to>
    <xdr:pic>
      <xdr:nvPicPr>
        <xdr:cNvPr id="1" name="Picture 31"/>
        <xdr:cNvPicPr preferRelativeResize="1">
          <a:picLocks noChangeAspect="1"/>
        </xdr:cNvPicPr>
      </xdr:nvPicPr>
      <xdr:blipFill>
        <a:blip r:embed="rId1"/>
        <a:stretch>
          <a:fillRect/>
        </a:stretch>
      </xdr:blipFill>
      <xdr:spPr>
        <a:xfrm>
          <a:off x="15706725" y="85725"/>
          <a:ext cx="1343025" cy="1200150"/>
        </a:xfrm>
        <a:prstGeom prst="rect">
          <a:avLst/>
        </a:prstGeom>
        <a:noFill/>
        <a:ln w="9525" cmpd="sng">
          <a:noFill/>
        </a:ln>
      </xdr:spPr>
    </xdr:pic>
    <xdr:clientData/>
  </xdr:twoCellAnchor>
  <xdr:twoCellAnchor>
    <xdr:from>
      <xdr:col>0</xdr:col>
      <xdr:colOff>228600</xdr:colOff>
      <xdr:row>0</xdr:row>
      <xdr:rowOff>76200</xdr:rowOff>
    </xdr:from>
    <xdr:to>
      <xdr:col>0</xdr:col>
      <xdr:colOff>1485900</xdr:colOff>
      <xdr:row>0</xdr:row>
      <xdr:rowOff>1295400</xdr:rowOff>
    </xdr:to>
    <xdr:pic>
      <xdr:nvPicPr>
        <xdr:cNvPr id="2" name="Picture 1" descr="Escudo Bogotá_sds_color"/>
        <xdr:cNvPicPr preferRelativeResize="1">
          <a:picLocks noChangeAspect="1"/>
        </xdr:cNvPicPr>
      </xdr:nvPicPr>
      <xdr:blipFill>
        <a:blip r:embed="rId2"/>
        <a:stretch>
          <a:fillRect/>
        </a:stretch>
      </xdr:blipFill>
      <xdr:spPr>
        <a:xfrm>
          <a:off x="228600" y="76200"/>
          <a:ext cx="12573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257175</xdr:rowOff>
    </xdr:from>
    <xdr:to>
      <xdr:col>0</xdr:col>
      <xdr:colOff>1276350</xdr:colOff>
      <xdr:row>1</xdr:row>
      <xdr:rowOff>1514475</xdr:rowOff>
    </xdr:to>
    <xdr:pic>
      <xdr:nvPicPr>
        <xdr:cNvPr id="1" name="Picture 1" descr="Escudo Bogotá_sds_color"/>
        <xdr:cNvPicPr preferRelativeResize="1">
          <a:picLocks noChangeAspect="1"/>
        </xdr:cNvPicPr>
      </xdr:nvPicPr>
      <xdr:blipFill>
        <a:blip r:embed="rId1"/>
        <a:stretch>
          <a:fillRect/>
        </a:stretch>
      </xdr:blipFill>
      <xdr:spPr>
        <a:xfrm>
          <a:off x="123825" y="447675"/>
          <a:ext cx="1152525" cy="1257300"/>
        </a:xfrm>
        <a:prstGeom prst="rect">
          <a:avLst/>
        </a:prstGeom>
        <a:noFill/>
        <a:ln w="9525" cmpd="sng">
          <a:noFill/>
        </a:ln>
      </xdr:spPr>
    </xdr:pic>
    <xdr:clientData/>
  </xdr:twoCellAnchor>
  <xdr:twoCellAnchor editAs="oneCell">
    <xdr:from>
      <xdr:col>8</xdr:col>
      <xdr:colOff>247650</xdr:colOff>
      <xdr:row>1</xdr:row>
      <xdr:rowOff>285750</xdr:rowOff>
    </xdr:from>
    <xdr:to>
      <xdr:col>8</xdr:col>
      <xdr:colOff>1562100</xdr:colOff>
      <xdr:row>1</xdr:row>
      <xdr:rowOff>1524000</xdr:rowOff>
    </xdr:to>
    <xdr:pic>
      <xdr:nvPicPr>
        <xdr:cNvPr id="2" name="Picture 31"/>
        <xdr:cNvPicPr preferRelativeResize="1">
          <a:picLocks noChangeAspect="1"/>
        </xdr:cNvPicPr>
      </xdr:nvPicPr>
      <xdr:blipFill>
        <a:blip r:embed="rId2"/>
        <a:stretch>
          <a:fillRect/>
        </a:stretch>
      </xdr:blipFill>
      <xdr:spPr>
        <a:xfrm>
          <a:off x="16506825" y="476250"/>
          <a:ext cx="13144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14"/>
  <sheetViews>
    <sheetView tabSelected="1" view="pageBreakPreview" zoomScale="90" zoomScaleNormal="70" zoomScaleSheetLayoutView="90" zoomScalePageLayoutView="0" workbookViewId="0" topLeftCell="A1">
      <selection activeCell="C4" sqref="C4"/>
    </sheetView>
  </sheetViews>
  <sheetFormatPr defaultColWidth="11.421875" defaultRowHeight="15"/>
  <cols>
    <col min="1" max="1" width="24.00390625" style="18" bestFit="1" customWidth="1"/>
    <col min="2" max="2" width="32.7109375" style="18" bestFit="1" customWidth="1"/>
    <col min="3" max="3" width="31.8515625" style="18" customWidth="1"/>
    <col min="4" max="4" width="19.140625" style="18" bestFit="1" customWidth="1"/>
    <col min="5" max="5" width="19.140625" style="18" customWidth="1"/>
    <col min="6" max="6" width="25.7109375" style="18" bestFit="1" customWidth="1"/>
    <col min="7" max="7" width="26.421875" style="18" bestFit="1" customWidth="1"/>
    <col min="8" max="8" width="25.7109375" style="18" bestFit="1" customWidth="1"/>
    <col min="9" max="9" width="25.57421875" style="18" bestFit="1" customWidth="1"/>
    <col min="10" max="10" width="26.8515625" style="18" bestFit="1" customWidth="1"/>
    <col min="11" max="11" width="3.421875" style="18" bestFit="1" customWidth="1"/>
    <col min="12" max="64" width="11.421875" style="18" customWidth="1"/>
    <col min="65" max="66" width="0" style="18" hidden="1" customWidth="1"/>
    <col min="67" max="16384" width="11.421875" style="18" customWidth="1"/>
  </cols>
  <sheetData>
    <row r="1" spans="1:10" s="3" customFormat="1" ht="108.75" customHeight="1">
      <c r="A1" s="1"/>
      <c r="B1" s="97" t="s">
        <v>41</v>
      </c>
      <c r="C1" s="97"/>
      <c r="D1" s="97"/>
      <c r="E1" s="97"/>
      <c r="F1" s="97"/>
      <c r="G1" s="97"/>
      <c r="H1" s="97" t="s">
        <v>0</v>
      </c>
      <c r="I1" s="97"/>
      <c r="J1" s="2"/>
    </row>
    <row r="2" spans="1:67" s="6" customFormat="1" ht="27">
      <c r="A2" s="98" t="s">
        <v>45</v>
      </c>
      <c r="B2" s="99"/>
      <c r="C2" s="99"/>
      <c r="D2" s="99"/>
      <c r="E2" s="99"/>
      <c r="F2" s="99"/>
      <c r="G2" s="99"/>
      <c r="H2" s="99"/>
      <c r="I2" s="4" t="s">
        <v>1</v>
      </c>
      <c r="J2" s="5">
        <v>2020</v>
      </c>
      <c r="BM2" s="6" t="s">
        <v>2</v>
      </c>
      <c r="BN2" s="7" t="s">
        <v>3</v>
      </c>
      <c r="BO2" s="8"/>
    </row>
    <row r="3" spans="1:67" s="13" customFormat="1" ht="60.75">
      <c r="A3" s="9" t="s">
        <v>4</v>
      </c>
      <c r="B3" s="10" t="s">
        <v>5</v>
      </c>
      <c r="C3" s="11" t="s">
        <v>6</v>
      </c>
      <c r="D3" s="11" t="s">
        <v>7</v>
      </c>
      <c r="E3" s="11" t="s">
        <v>130</v>
      </c>
      <c r="F3" s="10" t="s">
        <v>8</v>
      </c>
      <c r="G3" s="10" t="s">
        <v>9</v>
      </c>
      <c r="H3" s="10" t="s">
        <v>10</v>
      </c>
      <c r="I3" s="10" t="s">
        <v>11</v>
      </c>
      <c r="J3" s="12" t="s">
        <v>12</v>
      </c>
      <c r="BM3" s="6" t="s">
        <v>13</v>
      </c>
      <c r="BN3" s="7" t="s">
        <v>14</v>
      </c>
      <c r="BO3" s="8"/>
    </row>
    <row r="4" spans="1:66" s="17" customFormat="1" ht="157.5" customHeight="1">
      <c r="A4" s="103" t="s">
        <v>42</v>
      </c>
      <c r="B4" s="14" t="s">
        <v>43</v>
      </c>
      <c r="C4" s="29" t="s">
        <v>48</v>
      </c>
      <c r="D4" s="15" t="s">
        <v>50</v>
      </c>
      <c r="E4" s="53">
        <v>0.35</v>
      </c>
      <c r="F4" s="53">
        <f>('FORMULACIÓN PGDI - III.'!F57)</f>
        <v>0.25</v>
      </c>
      <c r="G4" s="53">
        <f>('FORMULACIÓN PGDI - III.'!G57)</f>
        <v>0.25</v>
      </c>
      <c r="H4" s="53">
        <f>('FORMULACIÓN PGDI - III.'!H57)</f>
        <v>0.25</v>
      </c>
      <c r="I4" s="53">
        <f>('FORMULACIÓN PGDI - III.'!I57)</f>
        <v>0.25</v>
      </c>
      <c r="J4" s="54">
        <f>SUM(F4:I4)</f>
        <v>1</v>
      </c>
      <c r="K4" s="16"/>
      <c r="BM4" s="6"/>
      <c r="BN4" s="7"/>
    </row>
    <row r="5" spans="1:66" s="17" customFormat="1" ht="110.25">
      <c r="A5" s="104"/>
      <c r="B5" s="14" t="s">
        <v>44</v>
      </c>
      <c r="C5" s="29" t="s">
        <v>49</v>
      </c>
      <c r="D5" s="28" t="s">
        <v>50</v>
      </c>
      <c r="E5" s="53">
        <v>0.35</v>
      </c>
      <c r="F5" s="53">
        <f>('FORMULACIÓN PGDI - III.'!F80)</f>
        <v>0.14600000000000002</v>
      </c>
      <c r="G5" s="53">
        <f>('FORMULACIÓN PGDI - III.'!G80)</f>
        <v>0.20850000000000002</v>
      </c>
      <c r="H5" s="53">
        <f>('FORMULACIÓN PGDI - III.'!H80)</f>
        <v>0.437</v>
      </c>
      <c r="I5" s="53">
        <f>('FORMULACIÓN PGDI - III.'!I80)</f>
        <v>0.20850000000000002</v>
      </c>
      <c r="J5" s="54">
        <f>SUM(F5:I5)</f>
        <v>1</v>
      </c>
      <c r="K5" s="16"/>
      <c r="BM5" s="6"/>
      <c r="BN5" s="7"/>
    </row>
    <row r="6" spans="1:66" s="17" customFormat="1" ht="110.25" customHeight="1">
      <c r="A6" s="105" t="s">
        <v>51</v>
      </c>
      <c r="B6" s="30" t="s">
        <v>46</v>
      </c>
      <c r="C6" s="28"/>
      <c r="D6" s="85" t="s">
        <v>50</v>
      </c>
      <c r="E6" s="53">
        <v>0.2</v>
      </c>
      <c r="F6" s="53">
        <f>('FORMULACIÓN PGDI - III.'!F80)</f>
        <v>0.14600000000000002</v>
      </c>
      <c r="G6" s="53">
        <f>('FORMULACIÓN PGDI - III.'!G80)</f>
        <v>0.20850000000000002</v>
      </c>
      <c r="H6" s="53">
        <f>('FORMULACIÓN PGDI - III.'!H80)</f>
        <v>0.437</v>
      </c>
      <c r="I6" s="53">
        <f>('FORMULACIÓN PGDI - III.'!I80)</f>
        <v>0.20850000000000002</v>
      </c>
      <c r="J6" s="54">
        <f>SUM(F6:I6)</f>
        <v>1</v>
      </c>
      <c r="K6" s="16"/>
      <c r="BM6" s="6"/>
      <c r="BN6" s="7"/>
    </row>
    <row r="7" spans="1:66" s="17" customFormat="1" ht="120" customHeight="1">
      <c r="A7" s="106"/>
      <c r="B7" s="30" t="s">
        <v>47</v>
      </c>
      <c r="C7" s="28"/>
      <c r="D7" s="85" t="s">
        <v>50</v>
      </c>
      <c r="E7" s="53">
        <v>0.1</v>
      </c>
      <c r="F7" s="53">
        <f>('FORMULACIÓN PGDI - III.'!F85)</f>
        <v>0.475</v>
      </c>
      <c r="G7" s="53">
        <f>('FORMULACIÓN PGDI - III.'!G85)</f>
        <v>0.175</v>
      </c>
      <c r="H7" s="53">
        <f>('FORMULACIÓN PGDI - III.'!H85)</f>
        <v>0.175</v>
      </c>
      <c r="I7" s="53">
        <f>('FORMULACIÓN PGDI - III.'!I85)</f>
        <v>0.175</v>
      </c>
      <c r="J7" s="54">
        <f>SUM(F7:I7)</f>
        <v>1</v>
      </c>
      <c r="K7" s="16"/>
      <c r="BM7" s="6"/>
      <c r="BN7" s="7"/>
    </row>
    <row r="8" spans="1:10" ht="15" hidden="1">
      <c r="A8" s="100" t="s">
        <v>15</v>
      </c>
      <c r="B8" s="101"/>
      <c r="C8" s="101" t="s">
        <v>16</v>
      </c>
      <c r="D8" s="101"/>
      <c r="E8" s="101"/>
      <c r="F8" s="101"/>
      <c r="G8" s="101" t="s">
        <v>17</v>
      </c>
      <c r="H8" s="101"/>
      <c r="I8" s="101"/>
      <c r="J8" s="102"/>
    </row>
    <row r="9" spans="1:10" ht="51.75" customHeight="1" hidden="1">
      <c r="A9" s="93">
        <v>11</v>
      </c>
      <c r="B9" s="91"/>
      <c r="C9" s="94" t="s">
        <v>18</v>
      </c>
      <c r="D9" s="91"/>
      <c r="E9" s="91"/>
      <c r="F9" s="91"/>
      <c r="G9" s="95" t="s">
        <v>19</v>
      </c>
      <c r="H9" s="95"/>
      <c r="I9" s="95"/>
      <c r="J9" s="96"/>
    </row>
    <row r="10" spans="1:10" ht="15" hidden="1">
      <c r="A10" s="19" t="s">
        <v>20</v>
      </c>
      <c r="B10" s="89" t="s">
        <v>21</v>
      </c>
      <c r="C10" s="89"/>
      <c r="D10" s="89" t="s">
        <v>22</v>
      </c>
      <c r="E10" s="89"/>
      <c r="F10" s="89"/>
      <c r="G10" s="89"/>
      <c r="H10" s="89" t="s">
        <v>23</v>
      </c>
      <c r="I10" s="89"/>
      <c r="J10" s="90"/>
    </row>
    <row r="11" spans="1:10" ht="15" hidden="1">
      <c r="A11" s="19" t="s">
        <v>24</v>
      </c>
      <c r="B11" s="89" t="s">
        <v>25</v>
      </c>
      <c r="C11" s="89"/>
      <c r="D11" s="89" t="s">
        <v>26</v>
      </c>
      <c r="E11" s="89"/>
      <c r="F11" s="89"/>
      <c r="G11" s="89"/>
      <c r="H11" s="89" t="s">
        <v>27</v>
      </c>
      <c r="I11" s="89"/>
      <c r="J11" s="90"/>
    </row>
    <row r="12" spans="1:10" ht="39.75" customHeight="1" hidden="1">
      <c r="A12" s="19" t="s">
        <v>28</v>
      </c>
      <c r="B12" s="91"/>
      <c r="C12" s="91"/>
      <c r="D12" s="91"/>
      <c r="E12" s="91"/>
      <c r="F12" s="91"/>
      <c r="G12" s="91"/>
      <c r="H12" s="91"/>
      <c r="I12" s="91"/>
      <c r="J12" s="92"/>
    </row>
    <row r="13" spans="1:10" ht="15.75" hidden="1" thickBot="1">
      <c r="A13" s="86" t="s">
        <v>29</v>
      </c>
      <c r="B13" s="87"/>
      <c r="C13" s="87"/>
      <c r="D13" s="87" t="s">
        <v>30</v>
      </c>
      <c r="E13" s="87"/>
      <c r="F13" s="87"/>
      <c r="G13" s="87"/>
      <c r="H13" s="87" t="s">
        <v>31</v>
      </c>
      <c r="I13" s="87"/>
      <c r="J13" s="88"/>
    </row>
    <row r="14" ht="14.25">
      <c r="E14" s="55">
        <f>SUM(E4:E7)</f>
        <v>0.9999999999999999</v>
      </c>
    </row>
  </sheetData>
  <sheetProtection/>
  <mergeCells count="23">
    <mergeCell ref="B1:G1"/>
    <mergeCell ref="H1:I1"/>
    <mergeCell ref="A2:H2"/>
    <mergeCell ref="A8:B8"/>
    <mergeCell ref="C8:F8"/>
    <mergeCell ref="G8:J8"/>
    <mergeCell ref="A4:A5"/>
    <mergeCell ref="A6:A7"/>
    <mergeCell ref="A9:B9"/>
    <mergeCell ref="C9:F9"/>
    <mergeCell ref="G9:J9"/>
    <mergeCell ref="B10:C10"/>
    <mergeCell ref="D10:G10"/>
    <mergeCell ref="H10:J10"/>
    <mergeCell ref="A13:C13"/>
    <mergeCell ref="D13:G13"/>
    <mergeCell ref="H13:J13"/>
    <mergeCell ref="B11:C11"/>
    <mergeCell ref="D11:G11"/>
    <mergeCell ref="H11:J11"/>
    <mergeCell ref="B12:C12"/>
    <mergeCell ref="D12:G12"/>
    <mergeCell ref="H12:J12"/>
  </mergeCells>
  <printOptions/>
  <pageMargins left="0.7086614173228347" right="0.7086614173228347" top="0.7480314960629921" bottom="0.7480314960629921" header="0.31496062992125984" footer="0.31496062992125984"/>
  <pageSetup orientation="landscape" scale="52" r:id="rId2"/>
  <drawing r:id="rId1"/>
</worksheet>
</file>

<file path=xl/worksheets/sheet2.xml><?xml version="1.0" encoding="utf-8"?>
<worksheet xmlns="http://schemas.openxmlformats.org/spreadsheetml/2006/main" xmlns:r="http://schemas.openxmlformats.org/officeDocument/2006/relationships">
  <dimension ref="A2:J86"/>
  <sheetViews>
    <sheetView zoomScale="85" zoomScaleNormal="85" zoomScaleSheetLayoutView="70" zoomScalePageLayoutView="0" workbookViewId="0" topLeftCell="A1">
      <pane xSplit="5" ySplit="5" topLeftCell="F8" activePane="bottomRight" state="frozen"/>
      <selection pane="topLeft" activeCell="A1" sqref="A1"/>
      <selection pane="topRight" activeCell="G1" sqref="G1"/>
      <selection pane="bottomLeft" activeCell="A6" sqref="A6"/>
      <selection pane="bottomRight" activeCell="F10" sqref="F10"/>
    </sheetView>
  </sheetViews>
  <sheetFormatPr defaultColWidth="11.421875" defaultRowHeight="15"/>
  <cols>
    <col min="1" max="1" width="22.421875" style="70" customWidth="1"/>
    <col min="2" max="3" width="29.28125" style="70" customWidth="1"/>
    <col min="4" max="4" width="41.8515625" style="70" customWidth="1"/>
    <col min="5" max="5" width="33.140625" style="70" customWidth="1"/>
    <col min="6" max="9" width="29.28125" style="70" customWidth="1"/>
    <col min="10" max="16384" width="11.421875" style="70" customWidth="1"/>
  </cols>
  <sheetData>
    <row r="2" spans="1:9" ht="151.5" customHeight="1">
      <c r="A2" s="59"/>
      <c r="B2" s="89" t="s">
        <v>182</v>
      </c>
      <c r="C2" s="89"/>
      <c r="D2" s="89"/>
      <c r="E2" s="89"/>
      <c r="F2" s="89"/>
      <c r="G2" s="89"/>
      <c r="H2" s="20" t="s">
        <v>183</v>
      </c>
      <c r="I2" s="20"/>
    </row>
    <row r="3" spans="1:9" ht="8.25" customHeight="1">
      <c r="A3" s="121"/>
      <c r="B3" s="122"/>
      <c r="C3" s="122"/>
      <c r="D3" s="122"/>
      <c r="E3" s="122"/>
      <c r="F3" s="122"/>
      <c r="G3" s="122"/>
      <c r="H3" s="122"/>
      <c r="I3" s="122"/>
    </row>
    <row r="4" spans="1:9" ht="6.75" customHeight="1">
      <c r="A4" s="71"/>
      <c r="B4" s="72"/>
      <c r="C4" s="72"/>
      <c r="D4" s="72"/>
      <c r="E4" s="72"/>
      <c r="F4" s="72"/>
      <c r="G4" s="72"/>
      <c r="H4" s="72"/>
      <c r="I4" s="72"/>
    </row>
    <row r="5" spans="1:10" ht="75.75" customHeight="1">
      <c r="A5" s="21" t="s">
        <v>32</v>
      </c>
      <c r="B5" s="22" t="s">
        <v>33</v>
      </c>
      <c r="C5" s="23" t="s">
        <v>34</v>
      </c>
      <c r="D5" s="22" t="s">
        <v>35</v>
      </c>
      <c r="E5" s="62" t="s">
        <v>36</v>
      </c>
      <c r="F5" s="23" t="s">
        <v>8</v>
      </c>
      <c r="G5" s="23" t="s">
        <v>9</v>
      </c>
      <c r="H5" s="23" t="s">
        <v>37</v>
      </c>
      <c r="I5" s="23" t="s">
        <v>38</v>
      </c>
      <c r="J5" s="73"/>
    </row>
    <row r="6" spans="1:10" ht="54" customHeight="1">
      <c r="A6" s="123" t="s">
        <v>43</v>
      </c>
      <c r="B6" s="113" t="s">
        <v>67</v>
      </c>
      <c r="C6" s="107">
        <v>0.3</v>
      </c>
      <c r="D6" s="37" t="s">
        <v>68</v>
      </c>
      <c r="E6" s="39" t="s">
        <v>92</v>
      </c>
      <c r="F6" s="41">
        <f>($C$6*0.5)/4</f>
        <v>0.0375</v>
      </c>
      <c r="G6" s="41">
        <f>($C$6*0.5)/4</f>
        <v>0.0375</v>
      </c>
      <c r="H6" s="41">
        <f>($C$6*0.5)/4</f>
        <v>0.0375</v>
      </c>
      <c r="I6" s="41">
        <f>($C$6*0.5)/4</f>
        <v>0.0375</v>
      </c>
      <c r="J6" s="73"/>
    </row>
    <row r="7" spans="1:10" ht="106.5" customHeight="1">
      <c r="A7" s="124"/>
      <c r="B7" s="113"/>
      <c r="C7" s="114"/>
      <c r="D7" s="37" t="s">
        <v>69</v>
      </c>
      <c r="E7" s="39" t="s">
        <v>93</v>
      </c>
      <c r="F7" s="41">
        <f>($C$6*0.25)/4</f>
        <v>0.01875</v>
      </c>
      <c r="G7" s="41">
        <f aca="true" t="shared" si="0" ref="G7:I8">($C$6*0.25)/4</f>
        <v>0.01875</v>
      </c>
      <c r="H7" s="41">
        <f t="shared" si="0"/>
        <v>0.01875</v>
      </c>
      <c r="I7" s="41">
        <f t="shared" si="0"/>
        <v>0.01875</v>
      </c>
      <c r="J7" s="73"/>
    </row>
    <row r="8" spans="1:10" ht="188.25" customHeight="1">
      <c r="A8" s="124"/>
      <c r="B8" s="113"/>
      <c r="C8" s="108"/>
      <c r="D8" s="37" t="s">
        <v>70</v>
      </c>
      <c r="E8" s="40" t="s">
        <v>94</v>
      </c>
      <c r="F8" s="41">
        <f>($C$6*0.25)/4</f>
        <v>0.01875</v>
      </c>
      <c r="G8" s="41">
        <f t="shared" si="0"/>
        <v>0.01875</v>
      </c>
      <c r="H8" s="41">
        <f t="shared" si="0"/>
        <v>0.01875</v>
      </c>
      <c r="I8" s="41">
        <f t="shared" si="0"/>
        <v>0.01875</v>
      </c>
      <c r="J8" s="73"/>
    </row>
    <row r="9" spans="1:10" ht="24" customHeight="1">
      <c r="A9" s="124"/>
      <c r="B9" s="25" t="s">
        <v>39</v>
      </c>
      <c r="C9" s="45">
        <f>+SUM(F9+G9+H9+I9)</f>
        <v>0.3</v>
      </c>
      <c r="D9" s="45"/>
      <c r="E9" s="45"/>
      <c r="F9" s="45">
        <f>+SUM(F6+F7+F8)</f>
        <v>0.075</v>
      </c>
      <c r="G9" s="45">
        <f>+SUM(G6+G7+G8)</f>
        <v>0.075</v>
      </c>
      <c r="H9" s="45">
        <f>+SUM(H6+H7+H8)</f>
        <v>0.075</v>
      </c>
      <c r="I9" s="45">
        <f>+SUM(I6+I7+I8)</f>
        <v>0.075</v>
      </c>
      <c r="J9" s="73"/>
    </row>
    <row r="10" spans="1:10" ht="123" customHeight="1">
      <c r="A10" s="124"/>
      <c r="B10" s="125" t="s">
        <v>71</v>
      </c>
      <c r="C10" s="107">
        <v>0.12</v>
      </c>
      <c r="D10" s="37" t="s">
        <v>72</v>
      </c>
      <c r="E10" s="39" t="s">
        <v>114</v>
      </c>
      <c r="F10" s="24">
        <f>($C$10*0.7)/4</f>
        <v>0.020999999999999998</v>
      </c>
      <c r="G10" s="24">
        <f>($C$10*0.7)/4</f>
        <v>0.020999999999999998</v>
      </c>
      <c r="H10" s="24">
        <f>($C$10*0.7)/4</f>
        <v>0.020999999999999998</v>
      </c>
      <c r="I10" s="24">
        <f>($C$10*0.7)/4</f>
        <v>0.020999999999999998</v>
      </c>
      <c r="J10" s="73"/>
    </row>
    <row r="11" spans="1:10" ht="166.5" customHeight="1">
      <c r="A11" s="124"/>
      <c r="B11" s="126"/>
      <c r="C11" s="108"/>
      <c r="D11" s="37" t="s">
        <v>73</v>
      </c>
      <c r="E11" s="39" t="s">
        <v>115</v>
      </c>
      <c r="F11" s="24">
        <f>($C$10*0.3)/4</f>
        <v>0.009</v>
      </c>
      <c r="G11" s="24">
        <f>($C$10*0.3)/4</f>
        <v>0.009</v>
      </c>
      <c r="H11" s="24">
        <f>($C$10*0.3)/4</f>
        <v>0.009</v>
      </c>
      <c r="I11" s="24">
        <f>($C$10*0.3)/4</f>
        <v>0.009</v>
      </c>
      <c r="J11" s="73"/>
    </row>
    <row r="12" spans="1:10" ht="25.5" customHeight="1">
      <c r="A12" s="124"/>
      <c r="B12" s="25" t="s">
        <v>39</v>
      </c>
      <c r="C12" s="45">
        <f>+SUM(F12+G12+H12+I12)</f>
        <v>0.12</v>
      </c>
      <c r="D12" s="45"/>
      <c r="E12" s="45"/>
      <c r="F12" s="45">
        <f>+SUM(F10+F11)</f>
        <v>0.03</v>
      </c>
      <c r="G12" s="45">
        <f>+SUM(G10+G11)</f>
        <v>0.03</v>
      </c>
      <c r="H12" s="45">
        <f>+SUM(H10+H11)</f>
        <v>0.03</v>
      </c>
      <c r="I12" s="45">
        <f>+SUM(I10+I11)</f>
        <v>0.03</v>
      </c>
      <c r="J12" s="73"/>
    </row>
    <row r="13" spans="1:10" ht="184.5" customHeight="1">
      <c r="A13" s="124"/>
      <c r="B13" s="113" t="s">
        <v>74</v>
      </c>
      <c r="C13" s="109">
        <v>0.1</v>
      </c>
      <c r="D13" s="37" t="s">
        <v>95</v>
      </c>
      <c r="E13" s="50" t="s">
        <v>96</v>
      </c>
      <c r="F13" s="24">
        <f>($C$13*0.6)/4</f>
        <v>0.015</v>
      </c>
      <c r="G13" s="24">
        <f>($C$13*0.6)/4</f>
        <v>0.015</v>
      </c>
      <c r="H13" s="24">
        <f>($C$13*0.6)/4</f>
        <v>0.015</v>
      </c>
      <c r="I13" s="24">
        <f>($C$13*0.6)/4</f>
        <v>0.015</v>
      </c>
      <c r="J13" s="73"/>
    </row>
    <row r="14" spans="1:10" ht="176.25" customHeight="1">
      <c r="A14" s="124"/>
      <c r="B14" s="113"/>
      <c r="C14" s="110"/>
      <c r="D14" s="37" t="s">
        <v>75</v>
      </c>
      <c r="E14" s="50" t="s">
        <v>97</v>
      </c>
      <c r="F14" s="24">
        <f>($C$13*0.4)/4</f>
        <v>0.010000000000000002</v>
      </c>
      <c r="G14" s="24">
        <f>($C$13*0.4)/4</f>
        <v>0.010000000000000002</v>
      </c>
      <c r="H14" s="24">
        <f>($C$13*0.4)/4</f>
        <v>0.010000000000000002</v>
      </c>
      <c r="I14" s="24">
        <f>($C$13*0.4)/4</f>
        <v>0.010000000000000002</v>
      </c>
      <c r="J14" s="73"/>
    </row>
    <row r="15" spans="1:10" ht="23.25" customHeight="1">
      <c r="A15" s="124"/>
      <c r="B15" s="25" t="s">
        <v>39</v>
      </c>
      <c r="C15" s="45">
        <f>+SUM(F15+G15+H15+I15)</f>
        <v>0.1</v>
      </c>
      <c r="D15" s="45"/>
      <c r="E15" s="45"/>
      <c r="F15" s="45">
        <f>+SUM(F13+F14)</f>
        <v>0.025</v>
      </c>
      <c r="G15" s="45">
        <f>+SUM(G13+G14)</f>
        <v>0.025</v>
      </c>
      <c r="H15" s="45">
        <f>+SUM(H13+H14)</f>
        <v>0.025</v>
      </c>
      <c r="I15" s="45">
        <f>+SUM(I13+I14)</f>
        <v>0.025</v>
      </c>
      <c r="J15" s="73"/>
    </row>
    <row r="16" spans="1:10" ht="114.75" customHeight="1">
      <c r="A16" s="124"/>
      <c r="B16" s="115" t="s">
        <v>76</v>
      </c>
      <c r="C16" s="109">
        <v>0.12</v>
      </c>
      <c r="D16" s="37" t="s">
        <v>116</v>
      </c>
      <c r="E16" s="39" t="s">
        <v>117</v>
      </c>
      <c r="F16" s="24">
        <f>($C$16*0.5)/4</f>
        <v>0.015</v>
      </c>
      <c r="G16" s="24">
        <f aca="true" t="shared" si="1" ref="G16:I17">($C$16*0.5)/4</f>
        <v>0.015</v>
      </c>
      <c r="H16" s="24">
        <f t="shared" si="1"/>
        <v>0.015</v>
      </c>
      <c r="I16" s="24">
        <f t="shared" si="1"/>
        <v>0.015</v>
      </c>
      <c r="J16" s="73"/>
    </row>
    <row r="17" spans="1:10" ht="158.25" customHeight="1">
      <c r="A17" s="124"/>
      <c r="B17" s="117"/>
      <c r="C17" s="110"/>
      <c r="D17" s="37" t="s">
        <v>77</v>
      </c>
      <c r="E17" s="39" t="s">
        <v>137</v>
      </c>
      <c r="F17" s="24">
        <f>($C$16*0.5)/4</f>
        <v>0.015</v>
      </c>
      <c r="G17" s="24">
        <f t="shared" si="1"/>
        <v>0.015</v>
      </c>
      <c r="H17" s="24">
        <f t="shared" si="1"/>
        <v>0.015</v>
      </c>
      <c r="I17" s="24">
        <f t="shared" si="1"/>
        <v>0.015</v>
      </c>
      <c r="J17" s="73"/>
    </row>
    <row r="18" spans="1:10" ht="24" customHeight="1">
      <c r="A18" s="124"/>
      <c r="B18" s="25" t="s">
        <v>39</v>
      </c>
      <c r="C18" s="45">
        <f>+SUM(F18+G18+H18+I18)</f>
        <v>0.12</v>
      </c>
      <c r="D18" s="45"/>
      <c r="E18" s="45"/>
      <c r="F18" s="45">
        <f>+SUM(F16+F17)</f>
        <v>0.03</v>
      </c>
      <c r="G18" s="45">
        <f>+SUM(G16+G17)</f>
        <v>0.03</v>
      </c>
      <c r="H18" s="45">
        <f>+SUM(H16+H17)</f>
        <v>0.03</v>
      </c>
      <c r="I18" s="45">
        <f>+SUM(I16+I17)</f>
        <v>0.03</v>
      </c>
      <c r="J18" s="73"/>
    </row>
    <row r="19" spans="1:10" ht="100.5" customHeight="1">
      <c r="A19" s="124"/>
      <c r="B19" s="115" t="s">
        <v>78</v>
      </c>
      <c r="C19" s="109">
        <v>0.1</v>
      </c>
      <c r="D19" s="38" t="s">
        <v>79</v>
      </c>
      <c r="E19" s="52" t="s">
        <v>138</v>
      </c>
      <c r="F19" s="24">
        <f>($C$19/16)</f>
        <v>0.00625</v>
      </c>
      <c r="G19" s="24">
        <f aca="true" t="shared" si="2" ref="G19:I22">($C$19/16)</f>
        <v>0.00625</v>
      </c>
      <c r="H19" s="24">
        <f t="shared" si="2"/>
        <v>0.00625</v>
      </c>
      <c r="I19" s="24">
        <f t="shared" si="2"/>
        <v>0.00625</v>
      </c>
      <c r="J19" s="73"/>
    </row>
    <row r="20" spans="1:10" ht="100.5" customHeight="1">
      <c r="A20" s="124"/>
      <c r="B20" s="116"/>
      <c r="C20" s="111"/>
      <c r="D20" s="38" t="s">
        <v>139</v>
      </c>
      <c r="E20" s="52" t="s">
        <v>127</v>
      </c>
      <c r="F20" s="24">
        <f>($C$19/16)</f>
        <v>0.00625</v>
      </c>
      <c r="G20" s="24">
        <f t="shared" si="2"/>
        <v>0.00625</v>
      </c>
      <c r="H20" s="24">
        <f t="shared" si="2"/>
        <v>0.00625</v>
      </c>
      <c r="I20" s="24">
        <f t="shared" si="2"/>
        <v>0.00625</v>
      </c>
      <c r="J20" s="73"/>
    </row>
    <row r="21" spans="1:10" ht="79.5" customHeight="1">
      <c r="A21" s="124"/>
      <c r="B21" s="116"/>
      <c r="C21" s="111"/>
      <c r="D21" s="38" t="s">
        <v>80</v>
      </c>
      <c r="E21" s="52" t="s">
        <v>98</v>
      </c>
      <c r="F21" s="24">
        <f>($C$19/16)</f>
        <v>0.00625</v>
      </c>
      <c r="G21" s="24">
        <f t="shared" si="2"/>
        <v>0.00625</v>
      </c>
      <c r="H21" s="24">
        <f t="shared" si="2"/>
        <v>0.00625</v>
      </c>
      <c r="I21" s="24">
        <f t="shared" si="2"/>
        <v>0.00625</v>
      </c>
      <c r="J21" s="73"/>
    </row>
    <row r="22" spans="1:10" ht="78" customHeight="1">
      <c r="A22" s="124"/>
      <c r="B22" s="117"/>
      <c r="C22" s="110"/>
      <c r="D22" s="38" t="s">
        <v>140</v>
      </c>
      <c r="E22" s="52" t="s">
        <v>128</v>
      </c>
      <c r="F22" s="24">
        <f>($C$19/16)</f>
        <v>0.00625</v>
      </c>
      <c r="G22" s="24">
        <f t="shared" si="2"/>
        <v>0.00625</v>
      </c>
      <c r="H22" s="24">
        <f t="shared" si="2"/>
        <v>0.00625</v>
      </c>
      <c r="I22" s="24">
        <f t="shared" si="2"/>
        <v>0.00625</v>
      </c>
      <c r="J22" s="73"/>
    </row>
    <row r="23" spans="1:10" ht="35.25" customHeight="1">
      <c r="A23" s="124"/>
      <c r="B23" s="25" t="s">
        <v>39</v>
      </c>
      <c r="C23" s="45">
        <f>+SUM(F23+G23+H23+I23)</f>
        <v>0.1</v>
      </c>
      <c r="D23" s="45"/>
      <c r="E23" s="45"/>
      <c r="F23" s="45">
        <f>(F19+F20+F21+F22)</f>
        <v>0.025</v>
      </c>
      <c r="G23" s="45">
        <f>(G19+G20+G21+G22)</f>
        <v>0.025</v>
      </c>
      <c r="H23" s="45">
        <f>(H19+H20+H21+H22)</f>
        <v>0.025</v>
      </c>
      <c r="I23" s="45">
        <f>(I19+I20+I21+I22)</f>
        <v>0.025</v>
      </c>
      <c r="J23" s="73"/>
    </row>
    <row r="24" spans="1:10" ht="111" customHeight="1">
      <c r="A24" s="124"/>
      <c r="B24" s="115" t="s">
        <v>81</v>
      </c>
      <c r="C24" s="109">
        <v>0.08</v>
      </c>
      <c r="D24" s="38" t="s">
        <v>83</v>
      </c>
      <c r="E24" s="51" t="s">
        <v>141</v>
      </c>
      <c r="F24" s="24">
        <f>($C$24*0.7)/4</f>
        <v>0.013999999999999999</v>
      </c>
      <c r="G24" s="24">
        <f>($C$24*0.7)/4</f>
        <v>0.013999999999999999</v>
      </c>
      <c r="H24" s="24">
        <f>($C$24*0.7)/4</f>
        <v>0.013999999999999999</v>
      </c>
      <c r="I24" s="24">
        <f>($C$24*0.7)/4</f>
        <v>0.013999999999999999</v>
      </c>
      <c r="J24" s="73"/>
    </row>
    <row r="25" spans="1:10" ht="102.75" customHeight="1">
      <c r="A25" s="124"/>
      <c r="B25" s="116"/>
      <c r="C25" s="110"/>
      <c r="D25" s="38" t="s">
        <v>84</v>
      </c>
      <c r="E25" s="51" t="s">
        <v>129</v>
      </c>
      <c r="F25" s="24">
        <f>($C$24*0.3)/4</f>
        <v>0.006</v>
      </c>
      <c r="G25" s="24">
        <f>($C$24*0.3)/4</f>
        <v>0.006</v>
      </c>
      <c r="H25" s="24">
        <f>($C$24*0.3)/4</f>
        <v>0.006</v>
      </c>
      <c r="I25" s="24">
        <f>($C$24*0.3)/4</f>
        <v>0.006</v>
      </c>
      <c r="J25" s="73"/>
    </row>
    <row r="26" spans="1:10" ht="37.5" customHeight="1">
      <c r="A26" s="124"/>
      <c r="B26" s="25" t="s">
        <v>39</v>
      </c>
      <c r="C26" s="81">
        <f>+SUM(F26+G26+H26+I26)</f>
        <v>0.07999999999999999</v>
      </c>
      <c r="D26" s="82"/>
      <c r="E26" s="83"/>
      <c r="F26" s="81">
        <f>+SUM(F24+F25)</f>
        <v>0.019999999999999997</v>
      </c>
      <c r="G26" s="81">
        <f>+SUM(G24+G25)</f>
        <v>0.019999999999999997</v>
      </c>
      <c r="H26" s="81">
        <f>+SUM(H24+H25)</f>
        <v>0.019999999999999997</v>
      </c>
      <c r="I26" s="81">
        <f>+SUM(I24+I25)</f>
        <v>0.019999999999999997</v>
      </c>
      <c r="J26" s="73"/>
    </row>
    <row r="27" spans="1:10" ht="131.25" customHeight="1">
      <c r="A27" s="124"/>
      <c r="B27" s="127" t="s">
        <v>82</v>
      </c>
      <c r="C27" s="109">
        <v>0.08</v>
      </c>
      <c r="D27" s="38" t="s">
        <v>85</v>
      </c>
      <c r="E27" s="51" t="s">
        <v>124</v>
      </c>
      <c r="F27" s="24">
        <f>($C$27*0.25/4)</f>
        <v>0.005</v>
      </c>
      <c r="G27" s="24">
        <f aca="true" t="shared" si="3" ref="G27:I30">($C$27*0.25/4)</f>
        <v>0.005</v>
      </c>
      <c r="H27" s="24">
        <f t="shared" si="3"/>
        <v>0.005</v>
      </c>
      <c r="I27" s="24">
        <f t="shared" si="3"/>
        <v>0.005</v>
      </c>
      <c r="J27" s="73"/>
    </row>
    <row r="28" spans="1:10" ht="148.5" customHeight="1">
      <c r="A28" s="124"/>
      <c r="B28" s="127"/>
      <c r="C28" s="111"/>
      <c r="D28" s="38" t="s">
        <v>86</v>
      </c>
      <c r="E28" s="51" t="s">
        <v>125</v>
      </c>
      <c r="F28" s="24">
        <f>($C$27*0.25/4)</f>
        <v>0.005</v>
      </c>
      <c r="G28" s="24">
        <f t="shared" si="3"/>
        <v>0.005</v>
      </c>
      <c r="H28" s="24">
        <f t="shared" si="3"/>
        <v>0.005</v>
      </c>
      <c r="I28" s="24">
        <f t="shared" si="3"/>
        <v>0.005</v>
      </c>
      <c r="J28" s="73"/>
    </row>
    <row r="29" spans="1:10" ht="70.5" customHeight="1">
      <c r="A29" s="124"/>
      <c r="B29" s="127"/>
      <c r="C29" s="111"/>
      <c r="D29" s="38" t="s">
        <v>87</v>
      </c>
      <c r="E29" s="51" t="s">
        <v>142</v>
      </c>
      <c r="F29" s="24">
        <f>($C$27*0.25/4)</f>
        <v>0.005</v>
      </c>
      <c r="G29" s="24">
        <f t="shared" si="3"/>
        <v>0.005</v>
      </c>
      <c r="H29" s="24">
        <f t="shared" si="3"/>
        <v>0.005</v>
      </c>
      <c r="I29" s="24">
        <f t="shared" si="3"/>
        <v>0.005</v>
      </c>
      <c r="J29" s="73"/>
    </row>
    <row r="30" spans="1:10" ht="128.25" customHeight="1">
      <c r="A30" s="124"/>
      <c r="B30" s="127"/>
      <c r="C30" s="110"/>
      <c r="D30" s="38" t="s">
        <v>88</v>
      </c>
      <c r="E30" s="51" t="s">
        <v>143</v>
      </c>
      <c r="F30" s="24">
        <f>($C$27*0.25/4)</f>
        <v>0.005</v>
      </c>
      <c r="G30" s="24">
        <f t="shared" si="3"/>
        <v>0.005</v>
      </c>
      <c r="H30" s="24">
        <f t="shared" si="3"/>
        <v>0.005</v>
      </c>
      <c r="I30" s="24">
        <f t="shared" si="3"/>
        <v>0.005</v>
      </c>
      <c r="J30" s="73"/>
    </row>
    <row r="31" spans="1:10" ht="29.25" customHeight="1">
      <c r="A31" s="124"/>
      <c r="B31" s="25" t="s">
        <v>39</v>
      </c>
      <c r="C31" s="45">
        <f>+SUM(F31+G31+H31+I31)</f>
        <v>0.08</v>
      </c>
      <c r="D31" s="45"/>
      <c r="E31" s="45"/>
      <c r="F31" s="45">
        <f>+SUM(F27+F28+F29+F30)</f>
        <v>0.02</v>
      </c>
      <c r="G31" s="45">
        <f>+SUM(G27+G28+G29+G30)</f>
        <v>0.02</v>
      </c>
      <c r="H31" s="45">
        <f>+SUM(H27+H28+H29+H30)</f>
        <v>0.02</v>
      </c>
      <c r="I31" s="45">
        <f>+SUM(I27+I28+I29+I30)</f>
        <v>0.02</v>
      </c>
      <c r="J31" s="73"/>
    </row>
    <row r="32" spans="1:10" ht="124.5" customHeight="1">
      <c r="A32" s="124"/>
      <c r="B32" s="115" t="s">
        <v>89</v>
      </c>
      <c r="C32" s="109">
        <v>0.1</v>
      </c>
      <c r="D32" s="38" t="s">
        <v>90</v>
      </c>
      <c r="E32" s="51" t="s">
        <v>144</v>
      </c>
      <c r="F32" s="24">
        <f>($C$32*0.3/4)</f>
        <v>0.0075</v>
      </c>
      <c r="G32" s="24">
        <f aca="true" t="shared" si="4" ref="G32:I34">($C$32*0.3/4)</f>
        <v>0.0075</v>
      </c>
      <c r="H32" s="24">
        <f t="shared" si="4"/>
        <v>0.0075</v>
      </c>
      <c r="I32" s="24">
        <f t="shared" si="4"/>
        <v>0.0075</v>
      </c>
      <c r="J32" s="73"/>
    </row>
    <row r="33" spans="1:10" ht="141.75" customHeight="1">
      <c r="A33" s="124"/>
      <c r="B33" s="116"/>
      <c r="C33" s="111"/>
      <c r="D33" s="38" t="s">
        <v>91</v>
      </c>
      <c r="E33" s="51" t="s">
        <v>144</v>
      </c>
      <c r="F33" s="24">
        <f>($C$32*0.3/4)</f>
        <v>0.0075</v>
      </c>
      <c r="G33" s="24">
        <f t="shared" si="4"/>
        <v>0.0075</v>
      </c>
      <c r="H33" s="24">
        <f t="shared" si="4"/>
        <v>0.0075</v>
      </c>
      <c r="I33" s="24">
        <f t="shared" si="4"/>
        <v>0.0075</v>
      </c>
      <c r="J33" s="73"/>
    </row>
    <row r="34" spans="1:10" ht="117" customHeight="1">
      <c r="A34" s="124"/>
      <c r="B34" s="116"/>
      <c r="C34" s="111"/>
      <c r="D34" s="38" t="s">
        <v>145</v>
      </c>
      <c r="E34" s="51" t="s">
        <v>144</v>
      </c>
      <c r="F34" s="24">
        <f>($C$32*0.3/4)</f>
        <v>0.0075</v>
      </c>
      <c r="G34" s="24">
        <f t="shared" si="4"/>
        <v>0.0075</v>
      </c>
      <c r="H34" s="24">
        <f t="shared" si="4"/>
        <v>0.0075</v>
      </c>
      <c r="I34" s="24">
        <f t="shared" si="4"/>
        <v>0.0075</v>
      </c>
      <c r="J34" s="73"/>
    </row>
    <row r="35" spans="1:10" ht="149.25" customHeight="1">
      <c r="A35" s="124"/>
      <c r="B35" s="116"/>
      <c r="C35" s="111"/>
      <c r="D35" s="38" t="s">
        <v>146</v>
      </c>
      <c r="E35" s="51" t="s">
        <v>144</v>
      </c>
      <c r="F35" s="24">
        <f>($C$32*0.1/4)</f>
        <v>0.0025000000000000005</v>
      </c>
      <c r="G35" s="24">
        <f>($C$32*0.1/4)</f>
        <v>0.0025000000000000005</v>
      </c>
      <c r="H35" s="24">
        <f>($C$32*0.1/4)</f>
        <v>0.0025000000000000005</v>
      </c>
      <c r="I35" s="24">
        <f>($C$32*0.1/4)</f>
        <v>0.0025000000000000005</v>
      </c>
      <c r="J35" s="73"/>
    </row>
    <row r="36" spans="1:10" ht="27" customHeight="1">
      <c r="A36" s="124"/>
      <c r="B36" s="25" t="s">
        <v>39</v>
      </c>
      <c r="C36" s="45">
        <f>+SUM(F36+G36+H36+I36)</f>
        <v>0.1</v>
      </c>
      <c r="D36" s="45"/>
      <c r="E36" s="45"/>
      <c r="F36" s="45">
        <f>(F32+F33+F34+F35)</f>
        <v>0.025</v>
      </c>
      <c r="G36" s="45">
        <f>(G32+G33+G34+G35)</f>
        <v>0.025</v>
      </c>
      <c r="H36" s="45">
        <f>(H32+H33+H34+H35)</f>
        <v>0.025</v>
      </c>
      <c r="I36" s="45">
        <f>(I32+I33+I34+I35)</f>
        <v>0.025</v>
      </c>
      <c r="J36" s="73"/>
    </row>
    <row r="37" spans="1:10" s="75" customFormat="1" ht="34.5" customHeight="1">
      <c r="A37" s="42"/>
      <c r="B37" s="43" t="s">
        <v>40</v>
      </c>
      <c r="C37" s="84">
        <f>(F37+G37+H37+I37)</f>
        <v>0.9999999999999999</v>
      </c>
      <c r="D37" s="84"/>
      <c r="E37" s="84"/>
      <c r="F37" s="84">
        <f>(F9+F12+F15+F18+F23+F26+F31+F36)</f>
        <v>0.24999999999999997</v>
      </c>
      <c r="G37" s="84">
        <f>(G9+G12+G15+G18+G23+G26+G31+G36)</f>
        <v>0.24999999999999997</v>
      </c>
      <c r="H37" s="84">
        <f>(H9+H12+H15+H18+H23+H26+H31+H36)</f>
        <v>0.24999999999999997</v>
      </c>
      <c r="I37" s="84">
        <f>(I9+I12+I15+I18+I23+I26+I31+I36)</f>
        <v>0.24999999999999997</v>
      </c>
      <c r="J37" s="74"/>
    </row>
    <row r="38" spans="1:10" ht="125.25" customHeight="1">
      <c r="A38" s="112" t="s">
        <v>147</v>
      </c>
      <c r="B38" s="113" t="s">
        <v>99</v>
      </c>
      <c r="C38" s="107">
        <v>0.2</v>
      </c>
      <c r="D38" s="38" t="s">
        <v>100</v>
      </c>
      <c r="E38" s="46" t="s">
        <v>118</v>
      </c>
      <c r="F38" s="41">
        <f>($C$38/12)</f>
        <v>0.016666666666666666</v>
      </c>
      <c r="G38" s="41">
        <f aca="true" t="shared" si="5" ref="G38:I40">($C$38/12)</f>
        <v>0.016666666666666666</v>
      </c>
      <c r="H38" s="41">
        <f t="shared" si="5"/>
        <v>0.016666666666666666</v>
      </c>
      <c r="I38" s="41">
        <f t="shared" si="5"/>
        <v>0.016666666666666666</v>
      </c>
      <c r="J38" s="73"/>
    </row>
    <row r="39" spans="1:10" ht="200.25" customHeight="1">
      <c r="A39" s="112"/>
      <c r="B39" s="113"/>
      <c r="C39" s="114"/>
      <c r="D39" s="38" t="s">
        <v>148</v>
      </c>
      <c r="E39" s="59" t="s">
        <v>119</v>
      </c>
      <c r="F39" s="41">
        <f>($C$38/12)</f>
        <v>0.016666666666666666</v>
      </c>
      <c r="G39" s="41">
        <f t="shared" si="5"/>
        <v>0.016666666666666666</v>
      </c>
      <c r="H39" s="41">
        <f t="shared" si="5"/>
        <v>0.016666666666666666</v>
      </c>
      <c r="I39" s="41">
        <f t="shared" si="5"/>
        <v>0.016666666666666666</v>
      </c>
      <c r="J39" s="73"/>
    </row>
    <row r="40" spans="1:10" ht="142.5" customHeight="1">
      <c r="A40" s="112"/>
      <c r="B40" s="113"/>
      <c r="C40" s="108"/>
      <c r="D40" s="38" t="s">
        <v>149</v>
      </c>
      <c r="E40" s="59" t="s">
        <v>120</v>
      </c>
      <c r="F40" s="41">
        <f>($C$38/12)</f>
        <v>0.016666666666666666</v>
      </c>
      <c r="G40" s="41">
        <f t="shared" si="5"/>
        <v>0.016666666666666666</v>
      </c>
      <c r="H40" s="41">
        <f t="shared" si="5"/>
        <v>0.016666666666666666</v>
      </c>
      <c r="I40" s="41">
        <f t="shared" si="5"/>
        <v>0.016666666666666666</v>
      </c>
      <c r="J40" s="73"/>
    </row>
    <row r="41" spans="1:10" ht="15.75">
      <c r="A41" s="112"/>
      <c r="B41" s="25" t="s">
        <v>39</v>
      </c>
      <c r="C41" s="45">
        <f>(F41+G41+H41+I41)</f>
        <v>0.2</v>
      </c>
      <c r="D41" s="45"/>
      <c r="E41" s="45"/>
      <c r="F41" s="45">
        <f>+SUM(F38:F40)</f>
        <v>0.05</v>
      </c>
      <c r="G41" s="45">
        <f>+SUM(G38:G40)</f>
        <v>0.05</v>
      </c>
      <c r="H41" s="45">
        <f>+SUM(H38:H40)</f>
        <v>0.05</v>
      </c>
      <c r="I41" s="45">
        <f>+SUM(I38:I40)</f>
        <v>0.05</v>
      </c>
      <c r="J41" s="73"/>
    </row>
    <row r="42" spans="1:10" ht="123.75" customHeight="1">
      <c r="A42" s="112"/>
      <c r="B42" s="115" t="s">
        <v>101</v>
      </c>
      <c r="C42" s="109">
        <v>0.2</v>
      </c>
      <c r="D42" s="38" t="s">
        <v>150</v>
      </c>
      <c r="E42" s="49" t="s">
        <v>121</v>
      </c>
      <c r="F42" s="41">
        <f>($C$42/12)</f>
        <v>0.016666666666666666</v>
      </c>
      <c r="G42" s="41">
        <f aca="true" t="shared" si="6" ref="G42:I44">($C$42/12)</f>
        <v>0.016666666666666666</v>
      </c>
      <c r="H42" s="41">
        <f t="shared" si="6"/>
        <v>0.016666666666666666</v>
      </c>
      <c r="I42" s="41">
        <f t="shared" si="6"/>
        <v>0.016666666666666666</v>
      </c>
      <c r="J42" s="73"/>
    </row>
    <row r="43" spans="1:10" ht="90">
      <c r="A43" s="112"/>
      <c r="B43" s="116"/>
      <c r="C43" s="111"/>
      <c r="D43" s="38" t="s">
        <v>102</v>
      </c>
      <c r="E43" s="49" t="s">
        <v>134</v>
      </c>
      <c r="F43" s="41">
        <f>($C$42/12)</f>
        <v>0.016666666666666666</v>
      </c>
      <c r="G43" s="41">
        <f t="shared" si="6"/>
        <v>0.016666666666666666</v>
      </c>
      <c r="H43" s="41">
        <f t="shared" si="6"/>
        <v>0.016666666666666666</v>
      </c>
      <c r="I43" s="41">
        <f t="shared" si="6"/>
        <v>0.016666666666666666</v>
      </c>
      <c r="J43" s="73"/>
    </row>
    <row r="44" spans="1:10" ht="76.5" customHeight="1">
      <c r="A44" s="112"/>
      <c r="B44" s="117"/>
      <c r="C44" s="110"/>
      <c r="D44" s="38" t="s">
        <v>103</v>
      </c>
      <c r="E44" s="47" t="s">
        <v>135</v>
      </c>
      <c r="F44" s="41">
        <f>($C$42/12)</f>
        <v>0.016666666666666666</v>
      </c>
      <c r="G44" s="41">
        <f t="shared" si="6"/>
        <v>0.016666666666666666</v>
      </c>
      <c r="H44" s="41">
        <f t="shared" si="6"/>
        <v>0.016666666666666666</v>
      </c>
      <c r="I44" s="41">
        <f t="shared" si="6"/>
        <v>0.016666666666666666</v>
      </c>
      <c r="J44" s="73"/>
    </row>
    <row r="45" spans="1:10" ht="15.75">
      <c r="A45" s="112"/>
      <c r="B45" s="25" t="s">
        <v>39</v>
      </c>
      <c r="C45" s="44">
        <f>(F45+G45+H45+I45)</f>
        <v>0.2</v>
      </c>
      <c r="D45" s="25"/>
      <c r="E45" s="32"/>
      <c r="F45" s="45">
        <f>+SUM(F42:F44)</f>
        <v>0.05</v>
      </c>
      <c r="G45" s="45">
        <f>+SUM(G42:G44)</f>
        <v>0.05</v>
      </c>
      <c r="H45" s="45">
        <f>+SUM(H42:H44)</f>
        <v>0.05</v>
      </c>
      <c r="I45" s="45">
        <f>+SUM(I42:I44)</f>
        <v>0.05</v>
      </c>
      <c r="J45" s="73"/>
    </row>
    <row r="46" spans="1:10" ht="111.75" customHeight="1">
      <c r="A46" s="112"/>
      <c r="B46" s="65" t="s">
        <v>104</v>
      </c>
      <c r="C46" s="64">
        <v>0.2</v>
      </c>
      <c r="D46" s="38" t="s">
        <v>105</v>
      </c>
      <c r="E46" s="49" t="s">
        <v>136</v>
      </c>
      <c r="F46" s="68">
        <f>($C$46/4)</f>
        <v>0.05</v>
      </c>
      <c r="G46" s="68">
        <f>($C$46/4)</f>
        <v>0.05</v>
      </c>
      <c r="H46" s="68">
        <f>($C$46/4)</f>
        <v>0.05</v>
      </c>
      <c r="I46" s="68">
        <f>($C$46/4)</f>
        <v>0.05</v>
      </c>
      <c r="J46" s="73"/>
    </row>
    <row r="47" spans="1:10" ht="15.75">
      <c r="A47" s="112"/>
      <c r="B47" s="25" t="s">
        <v>39</v>
      </c>
      <c r="C47" s="44">
        <f>(F47+G47+H47+I47)</f>
        <v>0.2</v>
      </c>
      <c r="D47" s="25"/>
      <c r="E47" s="25"/>
      <c r="F47" s="45">
        <f>+SUM(F46)</f>
        <v>0.05</v>
      </c>
      <c r="G47" s="45">
        <f>+SUM(G46)</f>
        <v>0.05</v>
      </c>
      <c r="H47" s="45">
        <f>+SUM(H46)</f>
        <v>0.05</v>
      </c>
      <c r="I47" s="45">
        <f>+SUM(I46)</f>
        <v>0.05</v>
      </c>
      <c r="J47" s="73"/>
    </row>
    <row r="48" spans="1:10" ht="138" customHeight="1">
      <c r="A48" s="112"/>
      <c r="B48" s="115" t="s">
        <v>106</v>
      </c>
      <c r="C48" s="118">
        <f>(7*100/35)/100</f>
        <v>0.2</v>
      </c>
      <c r="D48" s="38" t="s">
        <v>107</v>
      </c>
      <c r="E48" s="47" t="s">
        <v>122</v>
      </c>
      <c r="F48" s="68">
        <f>($C$48/16)</f>
        <v>0.0125</v>
      </c>
      <c r="G48" s="68">
        <f aca="true" t="shared" si="7" ref="G48:I51">($C$48/16)</f>
        <v>0.0125</v>
      </c>
      <c r="H48" s="68">
        <f t="shared" si="7"/>
        <v>0.0125</v>
      </c>
      <c r="I48" s="68">
        <f t="shared" si="7"/>
        <v>0.0125</v>
      </c>
      <c r="J48" s="73"/>
    </row>
    <row r="49" spans="1:10" ht="140.25" customHeight="1">
      <c r="A49" s="112"/>
      <c r="B49" s="116"/>
      <c r="C49" s="119"/>
      <c r="D49" s="38" t="s">
        <v>108</v>
      </c>
      <c r="E49" s="47" t="s">
        <v>122</v>
      </c>
      <c r="F49" s="68">
        <f>($C$48/16)</f>
        <v>0.0125</v>
      </c>
      <c r="G49" s="68">
        <f t="shared" si="7"/>
        <v>0.0125</v>
      </c>
      <c r="H49" s="68">
        <f t="shared" si="7"/>
        <v>0.0125</v>
      </c>
      <c r="I49" s="68">
        <f t="shared" si="7"/>
        <v>0.0125</v>
      </c>
      <c r="J49" s="73"/>
    </row>
    <row r="50" spans="1:10" ht="99.75" customHeight="1">
      <c r="A50" s="112"/>
      <c r="B50" s="116"/>
      <c r="C50" s="119"/>
      <c r="D50" s="38" t="s">
        <v>109</v>
      </c>
      <c r="E50" s="47" t="s">
        <v>123</v>
      </c>
      <c r="F50" s="68">
        <f>($C$48/16)</f>
        <v>0.0125</v>
      </c>
      <c r="G50" s="68">
        <f t="shared" si="7"/>
        <v>0.0125</v>
      </c>
      <c r="H50" s="68">
        <f t="shared" si="7"/>
        <v>0.0125</v>
      </c>
      <c r="I50" s="68">
        <f t="shared" si="7"/>
        <v>0.0125</v>
      </c>
      <c r="J50" s="73"/>
    </row>
    <row r="51" spans="1:10" ht="126" customHeight="1">
      <c r="A51" s="112"/>
      <c r="B51" s="117"/>
      <c r="C51" s="120"/>
      <c r="D51" s="38" t="s">
        <v>110</v>
      </c>
      <c r="E51" s="47" t="s">
        <v>151</v>
      </c>
      <c r="F51" s="68">
        <f>($C$48/16)</f>
        <v>0.0125</v>
      </c>
      <c r="G51" s="68">
        <f t="shared" si="7"/>
        <v>0.0125</v>
      </c>
      <c r="H51" s="68">
        <f t="shared" si="7"/>
        <v>0.0125</v>
      </c>
      <c r="I51" s="68">
        <f t="shared" si="7"/>
        <v>0.0125</v>
      </c>
      <c r="J51" s="73"/>
    </row>
    <row r="52" spans="1:10" ht="27" customHeight="1">
      <c r="A52" s="112"/>
      <c r="B52" s="25" t="s">
        <v>39</v>
      </c>
      <c r="C52" s="45">
        <f>(F52+G52+H52+I52)</f>
        <v>0.2</v>
      </c>
      <c r="D52" s="25"/>
      <c r="E52" s="25"/>
      <c r="F52" s="45">
        <f>(F48+F49+F50+F51)</f>
        <v>0.05</v>
      </c>
      <c r="G52" s="45">
        <f>(G48+G49+G50+G51)</f>
        <v>0.05</v>
      </c>
      <c r="H52" s="45">
        <f>(H48+H49+H50+H51)</f>
        <v>0.05</v>
      </c>
      <c r="I52" s="45">
        <f>(I48+I49+I50+I51)</f>
        <v>0.05</v>
      </c>
      <c r="J52" s="73"/>
    </row>
    <row r="53" spans="1:10" ht="79.5" customHeight="1">
      <c r="A53" s="112"/>
      <c r="B53" s="65" t="s">
        <v>111</v>
      </c>
      <c r="C53" s="66">
        <f>(5*100/35)/100</f>
        <v>0.14285714285714288</v>
      </c>
      <c r="D53" s="38" t="s">
        <v>112</v>
      </c>
      <c r="E53" s="47" t="s">
        <v>151</v>
      </c>
      <c r="F53" s="68">
        <f>($C$53/4)</f>
        <v>0.03571428571428572</v>
      </c>
      <c r="G53" s="68">
        <f>($C$53/4)</f>
        <v>0.03571428571428572</v>
      </c>
      <c r="H53" s="68">
        <f>($C$53/4)</f>
        <v>0.03571428571428572</v>
      </c>
      <c r="I53" s="68">
        <f>($C$53/4)</f>
        <v>0.03571428571428572</v>
      </c>
      <c r="J53" s="73"/>
    </row>
    <row r="54" spans="1:10" ht="15.75">
      <c r="A54" s="112"/>
      <c r="B54" s="25" t="s">
        <v>39</v>
      </c>
      <c r="C54" s="45">
        <f>(F54+G54+H54+I54)</f>
        <v>0.14285714285714288</v>
      </c>
      <c r="D54" s="25"/>
      <c r="E54" s="48"/>
      <c r="F54" s="45">
        <f>+SUM(F53)</f>
        <v>0.03571428571428572</v>
      </c>
      <c r="G54" s="45">
        <f>+SUM(G53)</f>
        <v>0.03571428571428572</v>
      </c>
      <c r="H54" s="45">
        <f>+SUM(H53)</f>
        <v>0.03571428571428572</v>
      </c>
      <c r="I54" s="45">
        <f>+SUM(I53)</f>
        <v>0.03571428571428572</v>
      </c>
      <c r="J54" s="73"/>
    </row>
    <row r="55" spans="1:10" ht="131.25" customHeight="1">
      <c r="A55" s="112"/>
      <c r="B55" s="56" t="s">
        <v>113</v>
      </c>
      <c r="C55" s="66">
        <f>(2*100/35)/100</f>
        <v>0.05714285714285714</v>
      </c>
      <c r="D55" s="37" t="s">
        <v>152</v>
      </c>
      <c r="E55" s="37" t="s">
        <v>153</v>
      </c>
      <c r="F55" s="68">
        <f>$C$55/4</f>
        <v>0.014285714285714285</v>
      </c>
      <c r="G55" s="68">
        <f>$C$55/4</f>
        <v>0.014285714285714285</v>
      </c>
      <c r="H55" s="68">
        <f>$C$55/4</f>
        <v>0.014285714285714285</v>
      </c>
      <c r="I55" s="68">
        <f>$C$55/4</f>
        <v>0.014285714285714285</v>
      </c>
      <c r="J55" s="73"/>
    </row>
    <row r="56" spans="1:10" ht="43.5" customHeight="1">
      <c r="A56" s="112"/>
      <c r="B56" s="25" t="s">
        <v>39</v>
      </c>
      <c r="C56" s="45">
        <f>(F56+G56+H56+I56)</f>
        <v>0.05714285714285714</v>
      </c>
      <c r="D56" s="25"/>
      <c r="E56" s="25"/>
      <c r="F56" s="45">
        <f>+SUM(F55:F55)</f>
        <v>0.014285714285714285</v>
      </c>
      <c r="G56" s="45">
        <f>+SUM(G55:G55)</f>
        <v>0.014285714285714285</v>
      </c>
      <c r="H56" s="45">
        <f>+SUM(H55:H55)</f>
        <v>0.014285714285714285</v>
      </c>
      <c r="I56" s="45">
        <f>+SUM(I55:I55)</f>
        <v>0.014285714285714285</v>
      </c>
      <c r="J56" s="73"/>
    </row>
    <row r="57" spans="1:10" ht="34.5" customHeight="1">
      <c r="A57" s="112"/>
      <c r="B57" s="27" t="s">
        <v>40</v>
      </c>
      <c r="C57" s="76">
        <f>(C41+C45+C47+C52+C54+C56)</f>
        <v>1</v>
      </c>
      <c r="D57" s="27"/>
      <c r="E57" s="27"/>
      <c r="F57" s="69">
        <f>(F56+F54+F52+F47+F45+F41)</f>
        <v>0.25</v>
      </c>
      <c r="G57" s="69">
        <f>(G56+G54+G52+G47+G45+G41)</f>
        <v>0.25</v>
      </c>
      <c r="H57" s="69">
        <f>(H56+H54+H52+H47+H45+H41)</f>
        <v>0.25</v>
      </c>
      <c r="I57" s="69">
        <f>(I56+I54+I52+I47+I45+I41)</f>
        <v>0.25</v>
      </c>
      <c r="J57" s="73"/>
    </row>
    <row r="58" spans="1:10" ht="202.5" customHeight="1">
      <c r="A58" s="123" t="s">
        <v>154</v>
      </c>
      <c r="B58" s="60" t="s">
        <v>155</v>
      </c>
      <c r="C58" s="61">
        <v>0.215</v>
      </c>
      <c r="D58" s="57" t="s">
        <v>156</v>
      </c>
      <c r="E58" s="62" t="s">
        <v>58</v>
      </c>
      <c r="F58" s="67">
        <f>$C$58/4</f>
        <v>0.05375</v>
      </c>
      <c r="G58" s="67">
        <f>$C$58/4</f>
        <v>0.05375</v>
      </c>
      <c r="H58" s="67">
        <f>$C$58/4</f>
        <v>0.05375</v>
      </c>
      <c r="I58" s="67">
        <f>$C$58/4</f>
        <v>0.05375</v>
      </c>
      <c r="J58" s="73"/>
    </row>
    <row r="59" spans="1:10" ht="15.75">
      <c r="A59" s="124"/>
      <c r="B59" s="25" t="s">
        <v>39</v>
      </c>
      <c r="C59" s="45">
        <f>(F59+G59+H59+I59)</f>
        <v>0.215</v>
      </c>
      <c r="D59" s="25"/>
      <c r="E59" s="25"/>
      <c r="F59" s="45">
        <f>+SUM(F58:F58)</f>
        <v>0.05375</v>
      </c>
      <c r="G59" s="45">
        <f>+SUM(G58:G58)</f>
        <v>0.05375</v>
      </c>
      <c r="H59" s="45">
        <f>+SUM(H58:H58)</f>
        <v>0.05375</v>
      </c>
      <c r="I59" s="45">
        <f>+SUM(I58:I58)</f>
        <v>0.05375</v>
      </c>
      <c r="J59" s="73"/>
    </row>
    <row r="60" spans="1:10" ht="86.25" customHeight="1">
      <c r="A60" s="124"/>
      <c r="B60" s="62" t="s">
        <v>157</v>
      </c>
      <c r="C60" s="63">
        <v>0.035</v>
      </c>
      <c r="D60" s="58" t="s">
        <v>158</v>
      </c>
      <c r="E60" s="22" t="s">
        <v>59</v>
      </c>
      <c r="F60" s="67">
        <f>($C$60/4)</f>
        <v>0.00875</v>
      </c>
      <c r="G60" s="67">
        <f>($C$60/4)</f>
        <v>0.00875</v>
      </c>
      <c r="H60" s="67">
        <f>($C$60/4)</f>
        <v>0.00875</v>
      </c>
      <c r="I60" s="67">
        <f>($C$60/4)</f>
        <v>0.00875</v>
      </c>
      <c r="J60" s="73"/>
    </row>
    <row r="61" spans="1:10" ht="15.75">
      <c r="A61" s="124"/>
      <c r="B61" s="25" t="s">
        <v>39</v>
      </c>
      <c r="C61" s="45">
        <f>(F61+G61+H61+I61)</f>
        <v>0.035</v>
      </c>
      <c r="D61" s="45"/>
      <c r="E61" s="45"/>
      <c r="F61" s="45">
        <f>+SUM(F60:F60)</f>
        <v>0.00875</v>
      </c>
      <c r="G61" s="45">
        <f>+SUM(G60:G60)</f>
        <v>0.00875</v>
      </c>
      <c r="H61" s="45">
        <f>+SUM(H60:H60)</f>
        <v>0.00875</v>
      </c>
      <c r="I61" s="45">
        <f>+SUM(I60:I60)</f>
        <v>0.00875</v>
      </c>
      <c r="J61" s="73"/>
    </row>
    <row r="62" spans="1:10" ht="41.25" customHeight="1">
      <c r="A62" s="124"/>
      <c r="B62" s="136" t="s">
        <v>53</v>
      </c>
      <c r="C62" s="137">
        <v>0.125</v>
      </c>
      <c r="D62" s="58" t="s">
        <v>159</v>
      </c>
      <c r="E62" s="22" t="s">
        <v>160</v>
      </c>
      <c r="F62" s="67">
        <f>($C$62*0.2)</f>
        <v>0.025</v>
      </c>
      <c r="G62" s="26"/>
      <c r="H62" s="26"/>
      <c r="I62" s="26"/>
      <c r="J62" s="73"/>
    </row>
    <row r="63" spans="1:10" ht="42.75" customHeight="1">
      <c r="A63" s="124"/>
      <c r="B63" s="136"/>
      <c r="C63" s="138"/>
      <c r="D63" s="35" t="s">
        <v>131</v>
      </c>
      <c r="E63" s="22" t="s">
        <v>60</v>
      </c>
      <c r="F63" s="67">
        <f>($C$62*0.4)/4</f>
        <v>0.0125</v>
      </c>
      <c r="G63" s="67">
        <f>($C$62*0.4)/4</f>
        <v>0.0125</v>
      </c>
      <c r="H63" s="67">
        <f>($C$62*0.4)/4</f>
        <v>0.0125</v>
      </c>
      <c r="I63" s="67">
        <f>($C$62*0.4)/4</f>
        <v>0.0125</v>
      </c>
      <c r="J63" s="73"/>
    </row>
    <row r="64" spans="1:10" ht="39.75" customHeight="1">
      <c r="A64" s="124"/>
      <c r="B64" s="136"/>
      <c r="C64" s="139"/>
      <c r="D64" s="58" t="s">
        <v>161</v>
      </c>
      <c r="E64" s="22" t="s">
        <v>162</v>
      </c>
      <c r="F64" s="26"/>
      <c r="G64" s="67">
        <f>($C$62*0.4)/2</f>
        <v>0.025</v>
      </c>
      <c r="H64" s="67"/>
      <c r="I64" s="67">
        <f>($C$62*0.4)/2</f>
        <v>0.025</v>
      </c>
      <c r="J64" s="73"/>
    </row>
    <row r="65" spans="1:10" ht="15.75">
      <c r="A65" s="124"/>
      <c r="B65" s="25" t="s">
        <v>39</v>
      </c>
      <c r="C65" s="45">
        <f>(F65+G65+H65+I65)</f>
        <v>0.125</v>
      </c>
      <c r="D65" s="45" t="s">
        <v>132</v>
      </c>
      <c r="E65" s="45"/>
      <c r="F65" s="45">
        <f>+SUM(F62:F64)</f>
        <v>0.037500000000000006</v>
      </c>
      <c r="G65" s="45">
        <f>+SUM(G62:G64)</f>
        <v>0.037500000000000006</v>
      </c>
      <c r="H65" s="45">
        <f>+SUM(H62:H64)</f>
        <v>0.0125</v>
      </c>
      <c r="I65" s="45">
        <f>+SUM(I62:I64)</f>
        <v>0.037500000000000006</v>
      </c>
      <c r="J65" s="73"/>
    </row>
    <row r="66" spans="1:10" ht="40.5" customHeight="1">
      <c r="A66" s="124"/>
      <c r="B66" s="128" t="s">
        <v>54</v>
      </c>
      <c r="C66" s="134">
        <v>0.175</v>
      </c>
      <c r="D66" s="36" t="s">
        <v>55</v>
      </c>
      <c r="E66" s="14" t="s">
        <v>61</v>
      </c>
      <c r="F66" s="33"/>
      <c r="G66" s="33"/>
      <c r="H66" s="68">
        <f>($C$66*0.4)</f>
        <v>0.06999999999999999</v>
      </c>
      <c r="I66" s="33"/>
      <c r="J66" s="73"/>
    </row>
    <row r="67" spans="1:10" ht="75" customHeight="1">
      <c r="A67" s="124"/>
      <c r="B67" s="130"/>
      <c r="C67" s="135"/>
      <c r="D67" s="36" t="s">
        <v>163</v>
      </c>
      <c r="E67" s="14" t="s">
        <v>164</v>
      </c>
      <c r="F67" s="33"/>
      <c r="G67" s="33"/>
      <c r="H67" s="68">
        <f>($C$66*0.3)</f>
        <v>0.0525</v>
      </c>
      <c r="I67" s="33"/>
      <c r="J67" s="73"/>
    </row>
    <row r="68" spans="1:10" ht="31.5">
      <c r="A68" s="124"/>
      <c r="B68" s="130"/>
      <c r="C68" s="135"/>
      <c r="D68" s="36" t="s">
        <v>165</v>
      </c>
      <c r="E68" s="14" t="s">
        <v>166</v>
      </c>
      <c r="F68" s="33"/>
      <c r="G68" s="33"/>
      <c r="H68" s="68">
        <f>($C$66*0.3)</f>
        <v>0.0525</v>
      </c>
      <c r="I68" s="33"/>
      <c r="J68" s="73"/>
    </row>
    <row r="69" spans="1:10" ht="15.75">
      <c r="A69" s="124"/>
      <c r="B69" s="25" t="s">
        <v>39</v>
      </c>
      <c r="C69" s="45">
        <f>(F69+G69+H69+I69)</f>
        <v>0.175</v>
      </c>
      <c r="D69" s="45"/>
      <c r="E69" s="45"/>
      <c r="F69" s="45">
        <f>(F66+F67+F68)</f>
        <v>0</v>
      </c>
      <c r="G69" s="45">
        <f>(G66+G67+G68)</f>
        <v>0</v>
      </c>
      <c r="H69" s="45">
        <f>(H66+H67+H68)</f>
        <v>0.175</v>
      </c>
      <c r="I69" s="45">
        <f>(I66+I67+I68)</f>
        <v>0</v>
      </c>
      <c r="J69" s="73"/>
    </row>
    <row r="70" spans="1:10" ht="88.5" customHeight="1">
      <c r="A70" s="124"/>
      <c r="B70" s="60" t="s">
        <v>167</v>
      </c>
      <c r="C70" s="61">
        <v>0.095</v>
      </c>
      <c r="D70" s="36" t="s">
        <v>168</v>
      </c>
      <c r="E70" s="14" t="s">
        <v>169</v>
      </c>
      <c r="F70" s="33"/>
      <c r="G70" s="33"/>
      <c r="H70" s="68">
        <f>(C70*1)</f>
        <v>0.095</v>
      </c>
      <c r="I70" s="33"/>
      <c r="J70" s="73"/>
    </row>
    <row r="71" spans="1:10" ht="15.75">
      <c r="A71" s="124"/>
      <c r="B71" s="25" t="s">
        <v>39</v>
      </c>
      <c r="C71" s="45">
        <f>(F71+G71+H71+I71)</f>
        <v>0.095</v>
      </c>
      <c r="D71" s="45"/>
      <c r="E71" s="45"/>
      <c r="F71" s="45">
        <f>+SUM(F70:F70)</f>
        <v>0</v>
      </c>
      <c r="G71" s="45">
        <f>+SUM(G70:G70)</f>
        <v>0</v>
      </c>
      <c r="H71" s="45">
        <f>+SUM(H70:H70)</f>
        <v>0.095</v>
      </c>
      <c r="I71" s="45">
        <f>+SUM(I70:I70)</f>
        <v>0</v>
      </c>
      <c r="J71" s="73"/>
    </row>
    <row r="72" spans="1:10" ht="84" customHeight="1">
      <c r="A72" s="124"/>
      <c r="B72" s="128" t="s">
        <v>170</v>
      </c>
      <c r="C72" s="134">
        <v>0.125</v>
      </c>
      <c r="D72" s="36" t="s">
        <v>171</v>
      </c>
      <c r="E72" s="14" t="s">
        <v>172</v>
      </c>
      <c r="F72" s="33"/>
      <c r="G72" s="68">
        <f>($C$72*0.6)/2</f>
        <v>0.0375</v>
      </c>
      <c r="H72" s="33"/>
      <c r="I72" s="68">
        <f>($C$72*0.6)/2</f>
        <v>0.0375</v>
      </c>
      <c r="J72" s="73"/>
    </row>
    <row r="73" spans="1:10" ht="69.75" customHeight="1">
      <c r="A73" s="124"/>
      <c r="B73" s="130"/>
      <c r="C73" s="135"/>
      <c r="D73" s="36" t="s">
        <v>173</v>
      </c>
      <c r="E73" s="14" t="s">
        <v>174</v>
      </c>
      <c r="F73" s="33"/>
      <c r="G73" s="68">
        <f>($C$72*0.4)/2</f>
        <v>0.025</v>
      </c>
      <c r="H73" s="33"/>
      <c r="I73" s="68">
        <f>($C$72*0.4)/2</f>
        <v>0.025</v>
      </c>
      <c r="J73" s="73"/>
    </row>
    <row r="74" spans="1:10" ht="15.75">
      <c r="A74" s="124"/>
      <c r="B74" s="25" t="s">
        <v>39</v>
      </c>
      <c r="C74" s="45">
        <f>(F74+G74+H74+I74)</f>
        <v>0.125</v>
      </c>
      <c r="D74" s="45"/>
      <c r="E74" s="45"/>
      <c r="F74" s="45">
        <f>+SUM(F72:F73)</f>
        <v>0</v>
      </c>
      <c r="G74" s="45">
        <f>+SUM(G72:G73)</f>
        <v>0.0625</v>
      </c>
      <c r="H74" s="45">
        <f>+SUM(H72:H73)</f>
        <v>0</v>
      </c>
      <c r="I74" s="45">
        <f>+SUM(I72:I73)</f>
        <v>0.0625</v>
      </c>
      <c r="J74" s="73"/>
    </row>
    <row r="75" spans="1:10" ht="51.75" customHeight="1">
      <c r="A75" s="124"/>
      <c r="B75" s="128" t="s">
        <v>56</v>
      </c>
      <c r="C75" s="131">
        <v>0.23</v>
      </c>
      <c r="D75" s="14" t="s">
        <v>57</v>
      </c>
      <c r="E75" s="14" t="s">
        <v>62</v>
      </c>
      <c r="F75" s="68">
        <f>($C$75*0.2)/4</f>
        <v>0.011500000000000002</v>
      </c>
      <c r="G75" s="68">
        <f>($C$75*0.2)/4</f>
        <v>0.011500000000000002</v>
      </c>
      <c r="H75" s="68">
        <f>($C$75*0.2)/4</f>
        <v>0.011500000000000002</v>
      </c>
      <c r="I75" s="68">
        <f>($C$75*0.2)/4</f>
        <v>0.011500000000000002</v>
      </c>
      <c r="J75" s="73"/>
    </row>
    <row r="76" spans="1:10" ht="53.25" customHeight="1">
      <c r="A76" s="124"/>
      <c r="B76" s="130"/>
      <c r="C76" s="132"/>
      <c r="D76" s="14" t="s">
        <v>133</v>
      </c>
      <c r="E76" s="14" t="s">
        <v>63</v>
      </c>
      <c r="F76" s="68">
        <f>($C$75*0.3)/4</f>
        <v>0.01725</v>
      </c>
      <c r="G76" s="68">
        <f aca="true" t="shared" si="8" ref="G76:I77">($C$75*0.3)/4</f>
        <v>0.01725</v>
      </c>
      <c r="H76" s="68">
        <f t="shared" si="8"/>
        <v>0.01725</v>
      </c>
      <c r="I76" s="68">
        <f t="shared" si="8"/>
        <v>0.01725</v>
      </c>
      <c r="J76" s="73"/>
    </row>
    <row r="77" spans="1:10" ht="115.5" customHeight="1">
      <c r="A77" s="124"/>
      <c r="B77" s="130"/>
      <c r="C77" s="132"/>
      <c r="D77" s="14" t="s">
        <v>175</v>
      </c>
      <c r="E77" s="14" t="s">
        <v>63</v>
      </c>
      <c r="F77" s="68">
        <f>($C$75*0.3)/4</f>
        <v>0.01725</v>
      </c>
      <c r="G77" s="68">
        <f t="shared" si="8"/>
        <v>0.01725</v>
      </c>
      <c r="H77" s="68">
        <f t="shared" si="8"/>
        <v>0.01725</v>
      </c>
      <c r="I77" s="68">
        <f t="shared" si="8"/>
        <v>0.01725</v>
      </c>
      <c r="J77" s="73"/>
    </row>
    <row r="78" spans="1:10" ht="84.75" customHeight="1">
      <c r="A78" s="124"/>
      <c r="B78" s="129"/>
      <c r="C78" s="133"/>
      <c r="D78" s="14" t="s">
        <v>176</v>
      </c>
      <c r="E78" s="14" t="s">
        <v>184</v>
      </c>
      <c r="F78" s="68"/>
      <c r="G78" s="68"/>
      <c r="H78" s="68">
        <f>(C75*0.2)</f>
        <v>0.046000000000000006</v>
      </c>
      <c r="I78" s="68"/>
      <c r="J78" s="73"/>
    </row>
    <row r="79" spans="1:10" ht="15.75">
      <c r="A79" s="34"/>
      <c r="B79" s="25" t="s">
        <v>39</v>
      </c>
      <c r="C79" s="45">
        <f>(F79+G79+H79+I79)</f>
        <v>0.23000000000000004</v>
      </c>
      <c r="D79" s="45"/>
      <c r="E79" s="45"/>
      <c r="F79" s="45">
        <f>+SUM(F75:F78)</f>
        <v>0.046000000000000006</v>
      </c>
      <c r="G79" s="45">
        <f>+SUM(G75:G78)</f>
        <v>0.046000000000000006</v>
      </c>
      <c r="H79" s="45">
        <f>+SUM(H75:H78)</f>
        <v>0.09200000000000001</v>
      </c>
      <c r="I79" s="45">
        <f>+SUM(I75:I78)</f>
        <v>0.046000000000000006</v>
      </c>
      <c r="J79" s="73"/>
    </row>
    <row r="80" spans="1:10" ht="20.25" customHeight="1">
      <c r="A80" s="31"/>
      <c r="B80" s="27" t="s">
        <v>40</v>
      </c>
      <c r="C80" s="69">
        <f>+SUM(F80:I80)</f>
        <v>1</v>
      </c>
      <c r="D80" s="69"/>
      <c r="E80" s="69"/>
      <c r="F80" s="69">
        <f>+F79+F74+F71+F69+F65+F61+F59</f>
        <v>0.14600000000000002</v>
      </c>
      <c r="G80" s="69">
        <f>+G79+G74+G71+G69+G65+G61+G59</f>
        <v>0.20850000000000002</v>
      </c>
      <c r="H80" s="69">
        <f>+H79+H74+H71+H69+H65+H61+H59</f>
        <v>0.437</v>
      </c>
      <c r="I80" s="69">
        <f>+I79+I74+I71+I69+I65+I61+I59</f>
        <v>0.20850000000000002</v>
      </c>
      <c r="J80" s="73"/>
    </row>
    <row r="81" spans="1:10" ht="66" customHeight="1">
      <c r="A81" s="123" t="s">
        <v>177</v>
      </c>
      <c r="B81" s="128" t="s">
        <v>178</v>
      </c>
      <c r="C81" s="141">
        <v>1</v>
      </c>
      <c r="D81" s="14" t="s">
        <v>179</v>
      </c>
      <c r="E81" s="32" t="s">
        <v>64</v>
      </c>
      <c r="F81" s="68">
        <f>($C$81*0.3)</f>
        <v>0.3</v>
      </c>
      <c r="G81" s="68"/>
      <c r="H81" s="68"/>
      <c r="I81" s="68"/>
      <c r="J81" s="73"/>
    </row>
    <row r="82" spans="1:10" ht="60.75" customHeight="1">
      <c r="A82" s="124"/>
      <c r="B82" s="129"/>
      <c r="C82" s="142"/>
      <c r="D82" s="14" t="s">
        <v>52</v>
      </c>
      <c r="E82" s="14" t="s">
        <v>65</v>
      </c>
      <c r="F82" s="68">
        <f>($C$81*0.35)/4</f>
        <v>0.0875</v>
      </c>
      <c r="G82" s="68">
        <f aca="true" t="shared" si="9" ref="G82:I83">($C$81*0.35)/4</f>
        <v>0.0875</v>
      </c>
      <c r="H82" s="68">
        <f t="shared" si="9"/>
        <v>0.0875</v>
      </c>
      <c r="I82" s="68">
        <f t="shared" si="9"/>
        <v>0.0875</v>
      </c>
      <c r="J82" s="73"/>
    </row>
    <row r="83" spans="1:10" ht="165" customHeight="1">
      <c r="A83" s="124"/>
      <c r="B83" s="14" t="s">
        <v>180</v>
      </c>
      <c r="C83" s="143"/>
      <c r="D83" s="14" t="s">
        <v>181</v>
      </c>
      <c r="E83" s="14" t="s">
        <v>66</v>
      </c>
      <c r="F83" s="68">
        <f>($C$81*0.35)/4</f>
        <v>0.0875</v>
      </c>
      <c r="G83" s="68">
        <f t="shared" si="9"/>
        <v>0.0875</v>
      </c>
      <c r="H83" s="68">
        <f t="shared" si="9"/>
        <v>0.0875</v>
      </c>
      <c r="I83" s="68">
        <f t="shared" si="9"/>
        <v>0.0875</v>
      </c>
      <c r="J83" s="73"/>
    </row>
    <row r="84" spans="1:10" ht="15.75">
      <c r="A84" s="140"/>
      <c r="B84" s="25" t="s">
        <v>39</v>
      </c>
      <c r="C84" s="45">
        <f>(F84+G84+H84+I84)</f>
        <v>1</v>
      </c>
      <c r="D84" s="25"/>
      <c r="E84" s="25"/>
      <c r="F84" s="45">
        <f>(F81+F82+F83)</f>
        <v>0.475</v>
      </c>
      <c r="G84" s="45">
        <f>(G81+G82+G83)</f>
        <v>0.175</v>
      </c>
      <c r="H84" s="45">
        <f>(H81+H82+H83)</f>
        <v>0.175</v>
      </c>
      <c r="I84" s="45">
        <f>(I81+I82+I83)</f>
        <v>0.175</v>
      </c>
      <c r="J84" s="73"/>
    </row>
    <row r="85" spans="1:10" ht="26.25" customHeight="1" thickBot="1">
      <c r="A85" s="77"/>
      <c r="B85" s="27" t="s">
        <v>40</v>
      </c>
      <c r="C85" s="69">
        <f>(C84)</f>
        <v>1</v>
      </c>
      <c r="D85" s="27"/>
      <c r="E85" s="27"/>
      <c r="F85" s="69">
        <f>+SUM(F84)</f>
        <v>0.475</v>
      </c>
      <c r="G85" s="69">
        <f>+SUM(G84)</f>
        <v>0.175</v>
      </c>
      <c r="H85" s="69">
        <f>+SUM(H84)</f>
        <v>0.175</v>
      </c>
      <c r="I85" s="69">
        <f>+SUM(I84)</f>
        <v>0.175</v>
      </c>
      <c r="J85" s="73"/>
    </row>
    <row r="86" spans="1:10" ht="30" customHeight="1">
      <c r="A86" s="73"/>
      <c r="B86" s="78" t="s">
        <v>126</v>
      </c>
      <c r="C86" s="79">
        <f>+SUM(F86:I86)</f>
        <v>0.9999999999999999</v>
      </c>
      <c r="D86" s="80"/>
      <c r="E86" s="80"/>
      <c r="F86" s="79">
        <f>(F37*0.35)+(F57*0.35)+(F80*0.15)+(F85*0.15)</f>
        <v>0.26815</v>
      </c>
      <c r="G86" s="79">
        <f>(G37*0.35)+(G57*0.35)+(G80*0.15)+(G85*0.15)</f>
        <v>0.23252499999999998</v>
      </c>
      <c r="H86" s="79">
        <f>(H37*0.35)+(H57*0.35)+(H80*0.15)+(H85*0.15)</f>
        <v>0.2668</v>
      </c>
      <c r="I86" s="79">
        <f>(I37*0.35)+(I57*0.35)+(I80*0.15)+(I85*0.15)</f>
        <v>0.23252499999999998</v>
      </c>
      <c r="J86" s="73"/>
    </row>
  </sheetData>
  <sheetProtection/>
  <mergeCells count="38">
    <mergeCell ref="B81:B82"/>
    <mergeCell ref="B75:B78"/>
    <mergeCell ref="C75:C78"/>
    <mergeCell ref="A58:A78"/>
    <mergeCell ref="B66:B68"/>
    <mergeCell ref="C66:C68"/>
    <mergeCell ref="B72:B73"/>
    <mergeCell ref="C72:C73"/>
    <mergeCell ref="B62:B64"/>
    <mergeCell ref="C62:C64"/>
    <mergeCell ref="A81:A84"/>
    <mergeCell ref="C81:C83"/>
    <mergeCell ref="B2:G2"/>
    <mergeCell ref="A3:I3"/>
    <mergeCell ref="B6:B8"/>
    <mergeCell ref="A6:A36"/>
    <mergeCell ref="C6:C8"/>
    <mergeCell ref="C32:C35"/>
    <mergeCell ref="B10:B11"/>
    <mergeCell ref="B19:B22"/>
    <mergeCell ref="B24:B25"/>
    <mergeCell ref="B27:B30"/>
    <mergeCell ref="B13:B14"/>
    <mergeCell ref="C13:C14"/>
    <mergeCell ref="B16:B17"/>
    <mergeCell ref="C16:C17"/>
    <mergeCell ref="B32:B35"/>
    <mergeCell ref="C19:C22"/>
    <mergeCell ref="C10:C11"/>
    <mergeCell ref="C24:C25"/>
    <mergeCell ref="C27:C30"/>
    <mergeCell ref="A38:A57"/>
    <mergeCell ref="B38:B40"/>
    <mergeCell ref="C38:C40"/>
    <mergeCell ref="B48:B51"/>
    <mergeCell ref="B42:B44"/>
    <mergeCell ref="C42:C44"/>
    <mergeCell ref="C48:C51"/>
  </mergeCells>
  <printOptions/>
  <pageMargins left="0.7086614173228347" right="0.7086614173228347" top="0.7480314960629921" bottom="0.7480314960629921" header="0.31496062992125984" footer="0.31496062992125984"/>
  <pageSetup orientation="portrait"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 Camacho, Alvaro Augusto</dc:creator>
  <cp:keywords/>
  <dc:description/>
  <cp:lastModifiedBy>VANGELSEIN</cp:lastModifiedBy>
  <dcterms:created xsi:type="dcterms:W3CDTF">2020-01-28T20:40:00Z</dcterms:created>
  <dcterms:modified xsi:type="dcterms:W3CDTF">2020-05-08T00:27:21Z</dcterms:modified>
  <cp:category/>
  <cp:version/>
  <cp:contentType/>
  <cp:contentStatus/>
</cp:coreProperties>
</file>