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sharedStrings.xml><?xml version="1.0" encoding="utf-8"?>
<sst xmlns="http://schemas.openxmlformats.org/spreadsheetml/2006/main" count="2650" uniqueCount="987">
  <si>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</si>
  <si>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</si>
  <si>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</si>
  <si>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</si>
  <si>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</si>
  <si>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</si>
  <si>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</si>
  <si>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</si>
  <si>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</si>
  <si>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</si>
  <si>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</si>
  <si>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</si>
  <si>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</si>
  <si>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</si>
  <si>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</si>
  <si>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</si>
  <si>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</si>
  <si>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</si>
  <si>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</si>
  <si>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</si>
  <si>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</si>
  <si>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</si>
  <si>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</si>
  <si>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</si>
  <si>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</si>
  <si>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</si>
  <si>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</si>
  <si>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</si>
  <si>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</si>
  <si>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</si>
  <si>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</si>
  <si>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</si>
  <si>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</si>
  <si>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</si>
  <si>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</si>
  <si>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</si>
  <si>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</si>
  <si>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</si>
  <si>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</si>
  <si>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</si>
  <si>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</si>
  <si>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</si>
  <si>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</si>
  <si>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</si>
  <si>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</si>
  <si>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</si>
  <si>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</si>
  <si>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</si>
  <si>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</si>
  <si>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</si>
  <si>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</si>
  <si>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</si>
  <si>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</si>
  <si>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</si>
  <si>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</si>
  <si>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</si>
  <si>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</si>
  <si>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</si>
  <si>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</si>
  <si>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</si>
  <si>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</si>
  <si>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</si>
  <si>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</si>
  <si>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</si>
  <si>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</si>
  <si>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</si>
  <si>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</si>
  <si>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</si>
  <si>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</si>
  <si>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</si>
  <si>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</si>
  <si>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</si>
  <si>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</si>
  <si>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</si>
  <si>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</si>
  <si>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</si>
  <si>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</si>
  <si>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</si>
  <si>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</si>
  <si>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</si>
  <si>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</si>
  <si>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</si>
  <si>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</si>
  <si>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</si>
  <si>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</si>
  <si>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</si>
  <si>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</si>
  <si>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</si>
  <si>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</si>
  <si>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</si>
  <si>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</si>
  <si>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</si>
  <si>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</si>
  <si>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</si>
  <si>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</si>
  <si>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</si>
  <si>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</si>
  <si>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</si>
  <si>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</si>
  <si>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</si>
  <si>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</si>
  <si>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</si>
  <si>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</si>
  <si>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</si>
  <si>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</si>
  <si>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</si>
  <si>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</si>
  <si>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</si>
  <si>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</si>
  <si>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</si>
  <si>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</si>
  <si>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</si>
  <si>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</si>
  <si>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</si>
  <si>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</si>
  <si>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</si>
  <si>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</si>
  <si>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</si>
  <si>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</si>
  <si>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</si>
  <si>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</si>
  <si>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</si>
  <si>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</si>
  <si>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</si>
  <si>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</si>
  <si>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</si>
  <si>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</si>
  <si>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</si>
  <si>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</si>
  <si>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</si>
  <si>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</si>
  <si>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</si>
  <si>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</si>
  <si>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</si>
  <si>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</si>
  <si>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</si>
  <si>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</si>
  <si>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</si>
  <si>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</si>
  <si>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</si>
  <si>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</si>
  <si>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</si>
  <si>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</si>
  <si>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</si>
  <si>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</si>
  <si>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</si>
  <si>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</si>
  <si>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</si>
  <si>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</si>
  <si>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</si>
  <si>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</si>
  <si>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</si>
  <si>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</si>
  <si>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</si>
  <si>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</si>
  <si>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</si>
  <si>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</si>
  <si>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</si>
  <si>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</si>
  <si>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</si>
  <si>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</si>
  <si>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</si>
  <si>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</si>
  <si>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</si>
  <si>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</si>
  <si>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</si>
  <si>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</si>
  <si>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</si>
  <si>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</si>
  <si>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</si>
  <si>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</si>
  <si>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</si>
  <si>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</si>
  <si>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</si>
  <si>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</si>
  <si>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</si>
  <si>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</si>
  <si>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</si>
  <si>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</si>
  <si>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</si>
  <si>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</si>
  <si>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</si>
  <si>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</si>
  <si>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</si>
  <si>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</si>
  <si>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</si>
  <si>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</si>
  <si>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</si>
  <si>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</si>
  <si>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</si>
  <si>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</si>
  <si>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</si>
  <si>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</si>
  <si>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</si>
  <si>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</si>
  <si>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</si>
  <si>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</si>
  <si>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</si>
  <si>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</si>
  <si>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</si>
  <si>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</si>
  <si>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</si>
  <si>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</si>
  <si>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</si>
  <si>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</si>
  <si>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</si>
  <si>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</si>
  <si>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</si>
  <si>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</si>
  <si>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</si>
  <si>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</si>
  <si>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</si>
  <si>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</si>
  <si>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</si>
  <si>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</si>
  <si>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</si>
  <si>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</si>
  <si>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</si>
  <si>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</si>
  <si>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</si>
  <si>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</si>
  <si>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</si>
  <si>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</si>
  <si>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</si>
  <si>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</si>
  <si>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</si>
  <si>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</si>
  <si>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</si>
  <si>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</si>
  <si>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</si>
  <si>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</si>
  <si>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</si>
  <si>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</si>
  <si>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</si>
  <si>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</si>
  <si>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</si>
  <si>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</si>
  <si>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</si>
  <si>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</si>
  <si>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</si>
  <si>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</si>
  <si>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</si>
  <si>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</si>
  <si>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</si>
  <si>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</si>
  <si>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</si>
  <si>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</si>
  <si>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</si>
  <si>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</si>
  <si>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</si>
  <si>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</si>
  <si>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</si>
  <si>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</si>
  <si>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</si>
  <si>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</si>
  <si>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</si>
  <si>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</si>
  <si>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</si>
  <si>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</si>
  <si>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</si>
  <si>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</si>
  <si>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</si>
  <si>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</si>
  <si>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</si>
  <si>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</si>
  <si>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</si>
  <si>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</si>
  <si>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</si>
  <si>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</si>
  <si>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</si>
  <si>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</si>
  <si>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</si>
  <si>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</si>
  <si>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</si>
  <si>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</si>
  <si>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</si>
  <si>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</si>
  <si>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</si>
  <si>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</si>
  <si>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</si>
  <si>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</si>
  <si>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</si>
  <si>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 xml:space="preserve">Verificación ingreso de bienes al almacen </t>
  </si>
  <si>
    <t xml:space="preserve">Referente técnico o Supervisor del Contrato Profesional Especializado del Almacén General  </t>
  </si>
  <si>
    <t>Diario</t>
  </si>
  <si>
    <t>Verificar que los datos registrados en  los documentos soporte para el ingreso (factura, contrato, convenio, comodato o donación) de la entrega correspondan con las cantidades y caracterisiticas fisicas y técnicas de los bienes a recibir</t>
  </si>
  <si>
    <t xml:space="preserve">Comparar documentos ingreso contra los bienes a recibir </t>
  </si>
  <si>
    <t xml:space="preserve">Solicitar al referente técnico o supervisor del contrato realizar los ajustes e informar al Sub Directorde Bienes y Servicios  las novedades presentadas en la recepción de los bienes </t>
  </si>
  <si>
    <t>Correo Electronico</t>
  </si>
  <si>
    <t>Actas
Facturas
contrato
comodato
convenio</t>
  </si>
  <si>
    <t>Humanos y Tecnológicos</t>
  </si>
  <si>
    <t xml:space="preserve">Realizar revisiones fisicas y documentales aleatorias a los bienes almacenados para verificar que estos cumplan con las especificaciones técnicas con las cuales fueron adquiridos y recibidos.   </t>
  </si>
  <si>
    <t xml:space="preserve"> 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</si>
  <si>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</si>
  <si>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</si>
  <si>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N/A</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</si>
  <si>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</si>
  <si>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</si>
  <si>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</si>
  <si>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</si>
  <si>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 .</t>
  </si>
  <si>
    <t>El Jefe de la Oficina de Asuntos Disciplinarios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</si>
  <si>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</si>
  <si>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</si>
  <si>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</si>
  <si>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</si>
  <si>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O:\Despacho\Oficina de Asuntos Disciplinarios\OAD 2022\EVIDENCIA MAPA DE RIESGOS OAD 2022</t>
  </si>
  <si>
    <t>Firma del documento por quien lo elaboró  y aprobación del Jefe en cada expediente.</t>
  </si>
  <si>
    <t>El Jefe de Oficina y abogados sustanciadores (recurso humano,  y expediente físico. (recurso físicos)</t>
  </si>
  <si>
    <t xml:space="preserve">El jefe de la Oficina  de Asuntos Disciplinarios realizará mesa de trabajo bimensual con los profesionales sustanciadores , para retroalimentar las observaciones de acuerdo a su criterio y se  levantara  un acta. </t>
  </si>
  <si>
    <t>Se iniciará las actuaciones disciplinarias correspondientes a que haya lugar.</t>
  </si>
  <si>
    <t xml:space="preserve">Préstamo de expedientes. </t>
  </si>
  <si>
    <t>Secretaria  y/o tecnólogo de la Oficina de Asuntos Disciplinarios</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</si>
  <si>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</si>
  <si>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</si>
  <si>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</si>
  <si>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</si>
  <si>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Se lleva el registro en un libro de los expedientes prestados.</t>
  </si>
  <si>
    <t>Secretaria Técnica y/o tecnólogo,técnico, abogados sustanciadores (recurso humano),  libro préstamo expedientes. (físicos)</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</si>
  <si>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</si>
  <si>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</si>
  <si>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</si>
  <si>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</si>
  <si>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OAD).</t>
  </si>
  <si>
    <t>Secretaria Técnica y/o tecnólogo,técnico, abogados sustanciadores (recurso humano),   Hoja Excel Registro mensual control expedientes(recurso .tecnològicos)</t>
  </si>
  <si>
    <t>Archivo digital de expedientes Disciplinarios,</t>
  </si>
  <si>
    <t>Siempre   que se aperture un expediente.</t>
  </si>
  <si>
    <t>Realizará una copia de seguridad.</t>
  </si>
  <si>
    <t>Mediante la digitalización en formato PDF del contenido del expediente.</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</si>
  <si>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</si>
  <si>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Carpeta digital denominada               ( EXPEDIENTES 2022).La cual se encuentra ubicada  en el equipo de la Secretaria Técnica de la OAD, en la siguiente ruta :  Bodega (D);EXPEDIENTES 2022. </t>
  </si>
  <si>
    <t xml:space="preserve">Secretaria Técnica y/o tecnólogo tècnico, abogados sustanciadores(recurso humano),y Carpeta Digital. (recursos tecnológicos)    </t>
  </si>
  <si>
    <t>Realizar un inventario anual de  los expedientes disciplinarios activos, comparando lo físico con lo digital, escaneando informaciòn que no se encuentre digitalizada. Se evidenciará   la actividad  por medio de  acta.</t>
  </si>
  <si>
    <t xml:space="preserve">Desvío de información por la falta de centralización de todas las acciones de comunicación en el proceso u oficina que lidera el tema en la entidad. </t>
  </si>
  <si>
    <t xml:space="preserve">Cambiar intencionalmente  la información recibida y enviada por las fuentes. </t>
  </si>
  <si>
    <t>Favorecer intereses particulares, políticos y/o de terceras personas, divulgando información a los medios de comunicación u otros públicos, o a través de los canales institucionales de comunicación, sin cumplir con los procedimientos establecidos por la Oficina Asesora de Comunicaciones.</t>
  </si>
  <si>
    <t>Falta de control en la entrega de material de la entidad a personas equivocadas, no aptas o no autorizadas para el manejo del mismo.</t>
  </si>
  <si>
    <t xml:space="preserve">Favorecer intereses particulares  y/o de terceras personas utilizando la imagen de la entidad a través del material POP o merchandising que produce la Oficina de Comunicaciones </t>
  </si>
  <si>
    <t xml:space="preserve">El profesional de la Oficina Asesora de Comunicaciones (OAC), cuando reciba de las dependencias la información para divulgar ante los medios masivos de comunicación y/o a través de los canales externos de comunicación, vericará la validez de dicha información revisando que haya sido enviada con el aval del jefe, director o referente delegado de la dependencia. </t>
  </si>
  <si>
    <t>El profesional de la Oficina Asesora de Comunicaciones</t>
  </si>
  <si>
    <t>Cuando reciba de las dependencias la información</t>
  </si>
  <si>
    <t>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</si>
  <si>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</si>
  <si>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provenga de fuentes oficiales o esté incompleta, el profesional solicitará ampliación de la misma a través de correo electrónico o solicitara visto buena de la jefe de la Oficina para la respectiva divulgación</t>
  </si>
  <si>
    <t>Requerimientos para la publicación de información así como las mismas publicaciones en los medios de comunicación y canales de comunicación externa oficiales</t>
  </si>
  <si>
    <t>Procedimiento Gestión de Comunicaciones
Lineamiento de comunicación externa</t>
  </si>
  <si>
    <t>Profesionales de la Oficina de Comunicaciones
WhatsApp
Correo electrónico
Página Web
Internet</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</si>
  <si>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</si>
  <si>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Cuando entregue el material POP y/o merchandising producido por la OAC</t>
  </si>
  <si>
    <t>Registrará la entrega del material en el formato</t>
  </si>
  <si>
    <t>Diligenciamiento del formato SDS-COM-FT-005 "Registro de material entregado en comunicaciones"</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</si>
  <si>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</si>
  <si>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Formato SDS-COM-FT-005 "Registro de material entregado en comunicaciones"</t>
  </si>
  <si>
    <t>Procedimiento Gestión de Comunicaciones
Lineamiento de comunicación externa
Lineamiento de comunicación interna</t>
  </si>
  <si>
    <t>Profesionales de la Oficina de Comunicaciones
Formato</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</si>
  <si>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</si>
  <si>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</si>
  <si>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</si>
  <si>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</si>
  <si>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</si>
  <si>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</si>
  <si>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</si>
  <si>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</si>
  <si>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</si>
  <si>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</si>
  <si>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</si>
  <si>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</si>
  <si>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</si>
  <si>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</si>
  <si>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</si>
  <si>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</si>
  <si>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</si>
  <si>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</si>
  <si>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</si>
  <si>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</si>
  <si>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</si>
  <si>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</si>
  <si>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</si>
  <si>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</si>
  <si>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</si>
  <si>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</si>
  <si>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</si>
  <si>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</si>
  <si>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</si>
  <si>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</si>
  <si>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</si>
  <si>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</si>
  <si>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</si>
  <si>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</si>
  <si>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</si>
  <si>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</si>
  <si>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</si>
  <si>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</si>
  <si>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</si>
  <si>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</si>
  <si>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</si>
  <si>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</si>
  <si>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</si>
  <si>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</si>
  <si>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</si>
  <si>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</si>
  <si>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</si>
  <si>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</si>
  <si>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</si>
  <si>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</si>
  <si>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</si>
  <si>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</si>
  <si>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</si>
  <si>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</si>
  <si>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</si>
  <si>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</si>
  <si>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</si>
  <si>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</si>
  <si>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</si>
  <si>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</si>
  <si>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</si>
  <si>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</si>
  <si>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</si>
  <si>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</si>
  <si>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</si>
  <si>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</si>
  <si>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</si>
  <si>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</si>
  <si>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</si>
  <si>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2023</t>
  </si>
  <si>
    <t>Remitir el caso a la Oficina de Asuntos Disiciplinarios para que inicie el proceso correspondiente</t>
  </si>
  <si>
    <t>Socialización mediante correos informativos al equipo de la Subdirección de Contratación acerca de la importancia de los valores de la entidad</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</si>
  <si>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</si>
  <si>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</si>
  <si>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</si>
  <si>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</si>
  <si>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dispositivos electronicos Centro Operativo</t>
  </si>
  <si>
    <t xml:space="preserve">El profesional (Enfermero o Medico) responsable de turno en el centro Operativo. </t>
  </si>
  <si>
    <t>Diariamente</t>
  </si>
  <si>
    <t>Controlar el uso de dispositivos móviles</t>
  </si>
  <si>
    <t>mediante la asignación de locker personal
y de Inspecciones visuales</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</si>
  <si>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</si>
  <si>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</si>
  <si>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</si>
  <si>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</si>
  <si>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Recibir dádivas </t>
  </si>
  <si>
    <t>Falta de integridad y Objetividad en la realización de los informes de auditoria</t>
  </si>
  <si>
    <t xml:space="preserve">NA </t>
  </si>
  <si>
    <t>Posibilidad de recibir dádivas o beneficios particulares para  emitir Informes de Auditoría ajustados a los intereses de los responsables del proceso Auditado.</t>
  </si>
  <si>
    <t>Socialización del codigo del auditor</t>
  </si>
  <si>
    <t xml:space="preserve">El jefe de la Oficina de Control Interno </t>
  </si>
  <si>
    <t>Semestralmente</t>
  </si>
  <si>
    <t xml:space="preserve">Socializará, el código de ética del auditor y el estatuto de auditoría, </t>
  </si>
  <si>
    <t xml:space="preserve">mediente correo elecctrónico </t>
  </si>
  <si>
    <t xml:space="preserve">De presentarse algún presunto acto de corrupción relacionado con las auditorias se comunicará a la Oficina de Asuntos Disciplinarios para que realice lo pertinente y a  la autoridad competente </t>
  </si>
  <si>
    <t xml:space="preserve">Correo electronico  
Memorando </t>
  </si>
  <si>
    <t xml:space="preserve">Código del auditor  y estatuto de auditoria </t>
  </si>
  <si>
    <t xml:space="preserve">Humanos tecnológicos </t>
  </si>
  <si>
    <t xml:space="preserve">Suscribir Conflicto de interés </t>
  </si>
  <si>
    <t xml:space="preserve">La técnico administrativa   </t>
  </si>
  <si>
    <t xml:space="preserve">Anualmente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</si>
  <si>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</si>
  <si>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</si>
  <si>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</si>
  <si>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</si>
  <si>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</si>
  <si>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</si>
  <si>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</si>
  <si>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</si>
  <si>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</si>
  <si>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</si>
  <si>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</si>
  <si>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</si>
  <si>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</si>
  <si>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</si>
  <si>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</si>
  <si>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</si>
  <si>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</si>
  <si>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</si>
  <si>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</si>
  <si>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</si>
  <si>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</si>
  <si>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</si>
  <si>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</si>
  <si>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</si>
  <si>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</si>
  <si>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</si>
  <si>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</si>
  <si>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</si>
  <si>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</si>
  <si>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</si>
  <si>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</si>
  <si>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</si>
  <si>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</si>
  <si>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</si>
  <si>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</si>
  <si>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</si>
  <si>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</si>
  <si>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</si>
  <si>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</si>
  <si>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</si>
  <si>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</si>
  <si>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</si>
  <si>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</si>
  <si>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</si>
  <si>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</si>
  <si>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</si>
  <si>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</si>
  <si>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</si>
  <si>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</si>
  <si>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</si>
  <si>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</si>
  <si>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</si>
  <si>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</si>
  <si>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</si>
  <si>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</si>
  <si>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</si>
  <si>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</si>
  <si>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</si>
  <si>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</si>
  <si>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</si>
  <si>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</si>
  <si>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</si>
  <si>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</si>
  <si>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</si>
  <si>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</si>
  <si>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</si>
  <si>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</si>
  <si>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</si>
  <si>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</si>
  <si>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</si>
  <si>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PROCEDIMIENTO GESTIÓN  DE PLANES, PROGRAMAS Y ACCIONES DE INTERES EN SALUD PÚBLICA.
2, SDS-GSP-PR-010 DESARROLLO DE LAS ACCIONES COLECTIVAS EN SALUD PÚBLICA.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</si>
  <si>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</si>
  <si>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 19.</t>
  </si>
  <si>
    <t>Cada vez que se  soliciten y realicen movimientos de insumos, dispositivos médicos y productos biologicos del Programa Ampliado de Inmunización - PAI permanente y Covidd 19</t>
  </si>
  <si>
    <t xml:space="preserve">Autorizar las salidas y verificar técnicamente, la trazabilidad desde el ingreso hasta la entrega al prestador de servicios de salud o entidad responsable (EAPB, IPS, E.S.E. según aplique), con los soportes correspondientes, para dar cumplimiento a la  normatividad vigente y directrices establecidas. e informar de manera clara y directa las fechas de vencimiento.
</t>
  </si>
  <si>
    <t>Revisando las solicitudes y necesidades de los insumos, dispositivos médicos y productos biologicos del Programa   Ampliado de Inmunización - PAI permanente y Covid 19 frente a la disponiblilidad y directrices establecidas  para autorizar la entrega de los mismos, estableciendo la coherencia de los registros de  movimientos,  en  las herramientas establecidas, comparando lo autorizado frente a lo entregado y su uso (ritmo de aplicacion, saldos de dosis)</t>
  </si>
  <si>
    <t>En caso de no cumplir con los requisitos establecidos notificarán al superior y al Ministerio de Salud y Protección Social, segun corresponda, dejando registro de dicha actuación y realizarán el seguimiento correspondiente hasta la resolución del caso.</t>
  </si>
  <si>
    <t>Como soporte de la ejecución del control, se cuenta con: Correos electronicos,  kardex, arqueos, registros de asitencia técnica, actas de reunión, registros en herramientas de excel o en los aplicativos pertinentes (modulos de inventarios y de pedidos con los parámetros requeridos), según aplique.</t>
  </si>
  <si>
    <t>Recurso humano:Supervisores, Profesionales especializados, universitarios y técnico del equipo.
Recurso tecnológico.
Recurso Financiero.
Recurso físico.</t>
  </si>
  <si>
    <t>Insumos, dispositivos médicos y productos biológicos para VACUNACION  COVID–19</t>
  </si>
  <si>
    <t>El referente técnico asignado por los directivos de la Secretaria Distrital de Salud</t>
  </si>
  <si>
    <t>Cada vez que se tenga solicitud, por parte de los prestadores de servicios de salud, y se tenga disponibilidad de los insumos, dispositivos médicos y productos biológicos, para vacunación COVID-19. y se requiera la autorización de entrega por parte de Bienes y servicios.</t>
  </si>
  <si>
    <t xml:space="preserve"> Revisará la solicitud  frente a la disponibilidad y pertinencia, de insumos, dispositivos médicos y productos biológicos  para vacuna COVID-19, para autorizar la entrega de los mismos por parte de Bienes y servcios de la Secretaria Distrital de Salud y recibidos los comprobantes de egreso, se cargará la información en el aplicativo PAI WEB - Modulo de inventarios, verificando posteriormente la entrega en el aplicativo, para hacer seguimiento al movimiento y dar cumplimiento a las directrices y normas establecidas.. 
</t>
  </si>
  <si>
    <t xml:space="preserve">Revisando las solicitudes frente a la disponibilidad, requisitos de norma y directrices establecidas, para autorizar las entregas hacia las instituciones por parte de Bienes y Servicios; Verificando posteriormente, en el aplicativo PAI WEB,  la coherencia entre las cantidades entregadas y las recepcionadas por los prestadores de servicios de salud, de acuerdo con los criterios,  registrando el resultado en la herramienta de  control establecida. 
</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</si>
  <si>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</si>
  <si>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electrónicos y acta institucional; registros en aplicativo PAI WEB, registros de egresos y documentos para asistencia técnica relacionada con entrega de insumos y productos biológicos .   </t>
  </si>
  <si>
    <t>Recurso humano:Subdirector de Acciones Colectivas y Profesionales especializados. 
Recurso tecnologico.
Recurso Financiero.
Recurso fisico.</t>
  </si>
  <si>
    <t>Establecer las actividades o requisitos para  verificar trazabilidad de entradas y salidas.
Documentar los resultados de aplicación del control y dar alertas según sea pertinente</t>
  </si>
  <si>
    <t xml:space="preserve">Revisar el caso, documentarlo y hacer la respectiva notificación al directivo responsable y a la oficina de asuntos disciplinarios o quien haga sus veces, o a las entidades y autoridades competentes, según corresponda. </t>
  </si>
  <si>
    <t>Intereses particulares o de  otros grupos</t>
  </si>
  <si>
    <t>Abuso del cargo</t>
  </si>
  <si>
    <t>Aprovechamiento de los espacios institucionales para realizar gestión política para el favorecimiento propio o de un tercero.</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</si>
  <si>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</si>
  <si>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</si>
  <si>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</si>
  <si>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</si>
  <si>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</si>
  <si>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</si>
  <si>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</si>
  <si>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</si>
  <si>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</si>
  <si>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</si>
  <si>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</si>
  <si>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Actas de comité y TIP de calidad de socialización.</t>
  </si>
  <si>
    <t>Realizar las encuestas en los diferentes Eventos realizados.</t>
  </si>
  <si>
    <t>Vigencia 2023</t>
  </si>
  <si>
    <t>Poner en conocimiento a la Oficina de asuntos disciplinarios, de los hechos que generan la posible materialización del Riesgo.</t>
  </si>
  <si>
    <t>Realizar trámites de IVC sin el cumplimiento de los requisitos recibiendo dádivas o beneficios a nombre propio o de terceros.</t>
  </si>
  <si>
    <t>Falta de seguimiento y actualización de la base de datos a los trámites y servicios en la página WEB y en el Sistema Único de Información de Trámites SUIT.</t>
  </si>
  <si>
    <t>No Aplica</t>
  </si>
  <si>
    <t>Posibilidad de afectación reputacional y/o económica por realizar trámites de IVC sin el cumplimiento de los requisitos recibiendo dádivas o beneficios a nombre propio o de terceros debido a falta de seguimiento y actualización de la base de datos a los trámites y servicios en la página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</si>
  <si>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</si>
  <si>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</si>
  <si>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economica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habilitacion. </t>
  </si>
  <si>
    <t>Verificación requisitos</t>
  </si>
  <si>
    <t>El profesional del proceso responsable de actualizar la información de trámites y servicios</t>
  </si>
  <si>
    <t>Verificara trimestralmente</t>
  </si>
  <si>
    <t>Que la información publicada en el sistema de información SUIT y página WEB se encuentre actualizada</t>
  </si>
  <si>
    <t>Acorde con los requisitos del tramité</t>
  </si>
  <si>
    <t>En caso de presentarse una novedad informará a la Dirección y solicitará a la dirección competente para que se realice el ajuste</t>
  </si>
  <si>
    <t>Como evidencia se deja el correo electrónico con el soporte de la revisión de la Pagina web.</t>
  </si>
  <si>
    <t>Definidas en cada uno de los respectivos procedimientos de los diferentes tramites asociados.  (Ver ISOLUCIÓN)</t>
  </si>
  <si>
    <t>Tecnológicos 
Humanos</t>
  </si>
  <si>
    <t>Verificación de encuesta o Verificacion Telefonica,  de satisfaccion de la visita de inspeccion, vigilancia y control, via correo electronico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</si>
  <si>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</si>
  <si>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</si>
  <si>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</si>
  <si>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Verificación de las respuestas de la encuesta diligenciada por los prestadores visitados o Tomando al azar diez (10) de los prestadores visitados para realizar verificación telefónica.  Para lo anterior diligenciará la planilla de control de lo consignando lo informado por el prestador y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</si>
  <si>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</si>
  <si>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</si>
  <si>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En verificación</t>
  </si>
  <si>
    <t>Acciones de entrenamiento en relación a los requerimientos establecidos para el tramite y el fomento del actuar del funcionario publico</t>
  </si>
  <si>
    <t>Notificación a directivo responsable y a la oficina de asuntos disciplinarios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</si>
  <si>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</si>
  <si>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t>
  </si>
  <si>
    <t>No aplicación de las normas y directrices vigentes referentes a politicas de integridad, antisoborno, y corrupción. 
Deficiencia en los procesos de divulgación de las normas y requisitos necesarios para la realización de tramites y procesos</t>
  </si>
  <si>
    <t xml:space="preserve"> Posible afectación reputacional por  realizar trámites u ofrecer servicios de IVC - SP, sin el cumplimiento de los requisitos o parámetros establecidos, recibiendo dádivas o beneficios a nombre propio o de terceros.debido a la falta de seguimiento a la gestión de tramites , publicación de requisitos para los usuarios que requieren tramites.</t>
  </si>
  <si>
    <t>TRÁMITES  IVC</t>
  </si>
  <si>
    <t xml:space="preserve">Profesional  designado </t>
  </si>
  <si>
    <t xml:space="preserve">trimestral </t>
  </si>
  <si>
    <t xml:space="preserve">
Verificar la participación de los funcionarios en las jornadas de socialización de la normativa de anticorrupción y los valores institucionales  para los tramites y otros procedimientos aministrativos IVC EN SP, asi como la aplicación de los conocimientos adquiridos.</t>
  </si>
  <si>
    <t xml:space="preserve">                                        
 Revisar los registros de participación en las jornadas de socialización de  presuntos actos de corrupcion   verificando la asistencia de los referentes de los tramites y otros procedimientos administrativos </t>
  </si>
  <si>
    <t>En caso de presentarse  inasistencia  se informara el superior inmediato para las acciones requeridas.</t>
  </si>
  <si>
    <t xml:space="preserve">Reporte via correo electronico. </t>
  </si>
  <si>
    <t xml:space="preserve">Plan operativo de gestion y desempeño. </t>
  </si>
  <si>
    <t xml:space="preserve">Humanos, Tecnologicos. </t>
  </si>
  <si>
    <t xml:space="preserve">TRÁMITES Y SERVICIOS IVC SP WEB: </t>
  </si>
  <si>
    <t xml:space="preserve">Profesional o tecnico designado </t>
  </si>
  <si>
    <t xml:space="preserve">Trimestral </t>
  </si>
  <si>
    <t xml:space="preserve"> Realizará monitoreo de la información publicada de tramites y servicios,</t>
  </si>
  <si>
    <t>Verificando que la información publicada en el sistema de información SUIT y pagina WEB se encuentre actualizada y acorde con los requisitos del tramité</t>
  </si>
  <si>
    <t>En caso de no encontrar coherencia,  solicitara a la Dependencia competente el ajuste mediante  Correo electrónico.</t>
  </si>
  <si>
    <t xml:space="preserve">Pagina web </t>
  </si>
  <si>
    <t>Plan Anticorrupción y de Atención al Ciudadano (PAAC)</t>
  </si>
  <si>
    <t>Analisis Causal, Revisión de diseño de controles</t>
  </si>
  <si>
    <t>Se iniciara proceso en caso de que se presente acto de corrupcion ante el proceso administrativo según la entidad quelo amerite,</t>
  </si>
  <si>
    <t>Favorecer a un Laboratorio de la Red Distrital mediante el cambio del concepto final de la visita de verificación de Estándares de Calidad.</t>
  </si>
  <si>
    <t xml:space="preserve">Modificar  el resultado de la visita a las Redes de la Subdirección de Laboratorio de Salud Pública para la verificación de Estándares de Calidad. </t>
  </si>
  <si>
    <t>Posibilidad de pérdida reputacional por alterar documentos públicos para favorecimiento de un tercero a través de los procesos de verificación de Estándares de Calidad.</t>
  </si>
  <si>
    <t>&gt;60</t>
  </si>
  <si>
    <t>Favorecer a un cliente externo mediante el cambio del resultado de la muestra procesada en la Subdirección de Laboratorio de Salud Pública.</t>
  </si>
  <si>
    <t>La realización del seguimiento a la modificación de resultados emitidos por la Subdirección de Laboratorio de Salud Pública (SLSP) no fue realizada oportunamente.</t>
  </si>
  <si>
    <t>Posibilidad de pérdida reputacional  por modificar documentos públicos para favorecimiento de un tercero a través de los resultados de marchas analíticas.</t>
  </si>
  <si>
    <t>&gt;600000</t>
  </si>
  <si>
    <t xml:space="preserve">Usar los bienes publicos para realización de pruebas de la Subdirección de Laboratorio de Salud Pública, a nombre propio o para  beneficios personales o de terceros. </t>
  </si>
  <si>
    <t xml:space="preserve">No realizar en los tiempos establecidos  el seguimiento al uso adecuado de insumos y reactivos frente a las necesidades, directrices e inventarios de  insumos y reactivos de la Subdireccón de Laboratorio de Salud Publica. </t>
  </si>
  <si>
    <t xml:space="preserve">Usar los bienes publicos para realización de pruebas de la Subdirección de Laboratorio de Salud Pública, a nombre propio o para  beneficios personales o de terceros no autorizados generando pérdida reputacional, por no realizar el seguimiento al uso adecuado de insumos y reactivos. </t>
  </si>
  <si>
    <t xml:space="preserve">Recibir apoyoso dadivas para asistencia a eventos académicos y/o de actualización profesional del personal de la Subdirección de Laboratorio de Salud Pública, a cambio de favorecimiento a casas comerciales, casas farmaceuticas, laboratorios, empresas dedicadas a la venta, alquiler o matenimiento de equipamento médico o de laboratorio. </t>
  </si>
  <si>
    <t xml:space="preserve">Seguimiento insuficiente a las fuentes de financiación y/o patrocinio de actividades de formación, representación, asistencia  a eventos científicos. </t>
  </si>
  <si>
    <t xml:space="preserve">Generación de pérdida reputacional por recibir apoyos para asistencia a eventos académicos y/o de actualización profesional o dadivas, a cambio de favorecimiento a casas comerciales, casas farmaceuticas,laboratorios,empresas dedicadas a la venta, alquiler o matenimiento de equipamiento médico o de laboratorio, debido a el seguimiento insuficiente a las fuentes de financiación y/o patrocinio de actividades de formación, representación, asistencia  a eventos científicos del personal de la Subdirección de Laboratorio de Salud Pública. </t>
  </si>
  <si>
    <t xml:space="preserve"> Estándares de Calidad</t>
  </si>
  <si>
    <t>Profesional Especializado de la Subdirección de Laboratorio de Salud Pública (SLSP) - Referente de Vigilancia del Ambiente y del Consumo (VAC) y Referente de Vigilancia de Enfermedades (VE).</t>
  </si>
  <si>
    <t>Mensual</t>
  </si>
  <si>
    <t xml:space="preserve">Verificar los resultados de los estándares de calidad realizados a los laboratorios de la Red Distrital de la Subdirección de Laboratorio de Salud Pública. </t>
  </si>
  <si>
    <t>Revisar las evidencias de la verificación de los estándares de calidad y las actas de visita, validando que se encuentren acordes con los requisitos exigidos por la normatividad legal vigente.</t>
  </si>
  <si>
    <t xml:space="preserve">En caso de alguna inconsistencia se debe revisar con la Subdirectora de Laboratorio de Salud Pública y el Referente del área para tomar las medidas necesarias de acuerdo a la sitiuación presentada. </t>
  </si>
  <si>
    <t>Acta de reunión  y soporte de la ejecución del control mediante la matriz de seguimiento de las visitas de Estándares de Calidad.</t>
  </si>
  <si>
    <t>Procedimiento de Verificación de Estándares de Calidad a Redes Distritales de Laboratorio con código 040GCP21.</t>
  </si>
  <si>
    <t>Humanos
Tecnológicos
Financieros</t>
  </si>
  <si>
    <t>Producto no conforme - Segunda firma</t>
  </si>
  <si>
    <t>Profesional Especializado de la Subdirección de Laboratorio de Salud Pública (SLSP) - Referente de Vigilancia del Ambiente y del Consumo (VAC) y Referente de Vigilancia de Enfermedades (VE)</t>
  </si>
  <si>
    <t xml:space="preserve">Verificar el aseguramiento analitico y el resultado de los emitido por la Subdirección de  Laboratorio de Salud Publica. </t>
  </si>
  <si>
    <t>Realizar la revisión del aseguramiento analítico del ensayo frente al procedimiento establecido en la Subdirección de Laboratorio de Salud Pública.</t>
  </si>
  <si>
    <t>En caso de no encontrar coherencia en el aseguramiento analítico y el resultado del ensayo, se informa al profesional que realizó el análisis para revisar el proceso de manera conjunta realizando la modiificación correspondiente y poseriormente dando el aval en la emisión del resultado con la firma del profesional que analiza y el profesional que revisa. De igual manera, se establece un producto no conforme por el profesional de la segunda firma y se comunica a a los Referente del área y al equipo de calidad mediante los canales de comunicación establecidos  para tomar las medidas pertinentes.</t>
  </si>
  <si>
    <t>Producto no conforme.
Acta de reunión  y soporte  seguimiento</t>
  </si>
  <si>
    <t>Procedimiento de Aseguramiento de la calidad analítica en el Laboratorio de Salud Pública con código 040GCPO06.
Procedimiento de Producto, Servicio y Trabajo de Ensayo No Conforme con código 040GCP10.</t>
  </si>
  <si>
    <t>Control de insumos y reactivos</t>
  </si>
  <si>
    <t>Profesional Especializado de la Subdirección de Laboratorio de Salud Pública (SLSP) - Referente Administrativa,  Referente de Vigilancia del Ambiente y del Consumo (VAC) y Referente de Vigilancia de Enfermedades (VE).</t>
  </si>
  <si>
    <t xml:space="preserve">Verificar el inventario de los insumos y/o reactivos de la Subdirección de Laboratorio de Salud Püblica. </t>
  </si>
  <si>
    <t xml:space="preserve">Se realizará  seguimiento  al  inventario de  reactivos , verificando en el aplicativo  SILASP o Labvantage  el número de muestras procesadas  frente a la cantidad  reactivos utilizados, de acuerdo a linea base de consumo, los controles de calidad según directrices establecidas en la Subdirección de Laboratorio de Salud Pública. </t>
  </si>
  <si>
    <t>En caso de no encontrar coherencia en el resultado, se informará al profesional que realizo el análisis para revisar el proceso y notificar las incosistencias a los Referentes de área y a la Subdirectora de Laboratorio de Salud Pública.</t>
  </si>
  <si>
    <t>Registro de Seguimiento a inventario de reactivos de la SLSP con código 040GCF147.
Acta de reunión  y soporte de seguimiento.</t>
  </si>
  <si>
    <t>Procedimiento administrativo para la elaboración, ejecución y control del plan anual de adquisiciones del LSP con código 040GCP13.</t>
  </si>
  <si>
    <t>Capacitaciones</t>
  </si>
  <si>
    <t>Profesional Especializado de la Subdirección de Laboratorio de Salud Pública (SLSP) - Referente de Calidad</t>
  </si>
  <si>
    <t>Realizar seguimiento a la asignación a los eventos  de   capacitación y/o actualización  de carácter externo Nacional o internacional.</t>
  </si>
  <si>
    <t>Verificar la participación del personal de la SLSP como asistente a capacitaciones o eventos mediante el seguimiento del cronograma de capacitaciones y cuando aplique el diligenciamiento del registro de la autorización de participación en capacitaciones o eventos para capacitaciones nacionales o internacionales.</t>
  </si>
  <si>
    <t xml:space="preserve">En caso de no contar con el visto bueno se debera analizar y notificar al superior a través de correo electrónico como evidencia de la ejecución del control quedará un campo de revisión del profesional  en el formato establecido con código 040GCF147.  </t>
  </si>
  <si>
    <t>Registro de Seguimiento a inventario de reactivos de la SLSP con código 040GCF147.
Acta de reunión  y soporte  seguimiento</t>
  </si>
  <si>
    <t>Cronograma de capacitaciones con código 040CGF115.
Registro de autorización de participación en capacitaciones o eventos 040GCF146.
Acta de reunión y soporte de seguimiento.</t>
  </si>
  <si>
    <t>Realizar verificación aleatoria de la matriz de seguimiento de las visitas de verificación de Estándares de Calidad realizadas en el período.</t>
  </si>
  <si>
    <t>Generar una reunión con la Subdirectora de Laboratorio de Salud Pública, las áreas técnicas y de calidad para determinar las acciones a seguir por la materialización del riesgo.</t>
  </si>
  <si>
    <t>Realizar por parte del grupo de calidad el seguimiento del reporte de Producto no conforme de las áreas técnicas.</t>
  </si>
  <si>
    <t>Verificar el reporte de las muestras procesadas en SILASP o Labvantage  con el consumo de reactivos de las áreas tecnicas.</t>
  </si>
  <si>
    <t>Seleccionar de manera aleatoria en el Cronograma de capacitaciones, varios procesos de formación realizados para verificar si se requirió el diligenciamiento del registro de la Autorización de participación en capacitaciones o eventos con código 040GCF146.</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</si>
  <si>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</si>
  <si>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</si>
  <si>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</si>
  <si>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</si>
  <si>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</si>
  <si>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</si>
  <si>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</si>
  <si>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</si>
  <si>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</si>
  <si>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</si>
  <si>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</si>
  <si>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</si>
  <si>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</si>
  <si>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</si>
  <si>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</si>
  <si>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</si>
  <si>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</si>
  <si>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</si>
  <si>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</si>
  <si>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</si>
  <si>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</si>
  <si>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</si>
  <si>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</si>
  <si>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</si>
  <si>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</si>
  <si>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</si>
  <si>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</si>
  <si>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</si>
  <si>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</si>
  <si>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</si>
  <si>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</si>
  <si>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</si>
  <si>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</si>
  <si>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</si>
  <si>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</si>
  <si>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</si>
  <si>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</si>
  <si>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</si>
  <si>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</si>
  <si>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</si>
  <si>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</si>
  <si>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</si>
  <si>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</si>
  <si>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Custodia de información confidencial</t>
  </si>
  <si>
    <t xml:space="preserve">Custodian la información confidencial y se controla. </t>
  </si>
  <si>
    <t xml:space="preserve">Mediante el control de acceso al Despacho por personal no autorizado y a partir de la oportunidad en la revisión y verificación jurídica y administrativa previa a la aprobación.
</t>
  </si>
  <si>
    <t>En caso que se desvié la información confidencial se adelantarán la investigaciones pertinentes</t>
  </si>
  <si>
    <t xml:space="preserve">
Controles de acceso al Despacho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</si>
  <si>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</si>
  <si>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</si>
  <si>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</si>
  <si>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</si>
  <si>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</si>
  <si>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lista de chequeo e idoneidad de la información presentada.</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</si>
  <si>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</si>
  <si>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</si>
  <si>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</si>
  <si>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 de chequeo, la idoneidad y calidad de la información y  realizado los análisis técnicos respectivos en cada componente (infraestructura o dotación).</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</si>
  <si>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</si>
  <si>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</si>
  <si>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
LISTA DE CHEQUEO SDS-PGS-FT-074
Modelo 116</t>
  </si>
  <si>
    <t>Humanos y tecnológicos</t>
  </si>
  <si>
    <t>Cumplimiento del procedimiento</t>
  </si>
  <si>
    <t xml:space="preserve">Verificar el procedimiento </t>
  </si>
  <si>
    <t>Cada referente de proyectos verifica que la documentación este conforme al procedimiento y los requisitos generales para la formulación y presentación de proyectos de inversión del sector salud.</t>
  </si>
  <si>
    <t>Generar la alerta con el área encargada de generar procesos disciplinarios de las entidades garantes del proyecto</t>
  </si>
  <si>
    <t>Revisión del concepto de viabilidad y solicitud de actualización del proyecto</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</si>
  <si>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</si>
  <si>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</si>
  <si>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</si>
  <si>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</si>
  <si>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</si>
  <si>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</si>
  <si>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</si>
  <si>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</si>
  <si>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</si>
  <si>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</si>
  <si>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</si>
  <si>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</si>
  <si>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</si>
  <si>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</si>
  <si>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</si>
  <si>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</si>
  <si>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</si>
  <si>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</si>
  <si>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</si>
  <si>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</si>
  <si>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</si>
  <si>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</si>
  <si>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</si>
  <si>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</si>
  <si>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</si>
  <si>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</si>
  <si>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</si>
  <si>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</si>
  <si>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</si>
  <si>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</si>
  <si>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</si>
  <si>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</si>
  <si>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</si>
  <si>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</si>
  <si>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</si>
  <si>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</si>
  <si>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</si>
  <si>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</si>
  <si>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</si>
  <si>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</si>
  <si>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</si>
  <si>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</si>
  <si>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</si>
  <si>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</si>
  <si>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</si>
  <si>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</si>
  <si>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</si>
  <si>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</si>
  <si>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</si>
  <si>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</si>
  <si>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</si>
  <si>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</si>
  <si>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</si>
  <si>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</si>
  <si>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</si>
  <si>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</si>
  <si>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</si>
  <si>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</si>
  <si>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</si>
  <si>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</si>
  <si>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</si>
  <si>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</si>
  <si>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</si>
  <si>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Redistribución  de actividades al talento humano 
Fortalecer la información al usuario e IPS para realizar el tramite de solicitud de valoración y RLCPD, a través de canal virtual y fisico, visibilizando la gratuidad del tramite para el usuario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</si>
  <si>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</si>
  <si>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registros
Crear e implementar instrumento de control de agenda disponibles
</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</si>
  <si>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</si>
  <si>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</si>
  <si>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</si>
  <si>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</si>
  <si>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</si>
  <si>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</si>
  <si>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</si>
  <si>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</si>
  <si>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</si>
  <si>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</si>
  <si>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</si>
  <si>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</si>
  <si>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</si>
  <si>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</si>
  <si>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</si>
  <si>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</si>
  <si>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</si>
  <si>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</si>
  <si>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</si>
  <si>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</si>
  <si>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</si>
  <si>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</si>
  <si>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</si>
  <si>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</si>
  <si>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</si>
  <si>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</si>
  <si>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</si>
  <si>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</si>
  <si>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</si>
  <si>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</si>
  <si>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</si>
  <si>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</si>
  <si>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</si>
  <si>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</si>
  <si>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</si>
  <si>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</si>
  <si>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</si>
  <si>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</si>
  <si>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</si>
  <si>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</si>
  <si>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</si>
  <si>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</si>
  <si>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</si>
  <si>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</si>
  <si>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</si>
  <si>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</si>
  <si>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</si>
  <si>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</si>
  <si>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</si>
  <si>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</si>
  <si>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</si>
  <si>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</si>
  <si>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</si>
  <si>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</si>
  <si>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</si>
  <si>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</si>
  <si>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</si>
  <si>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</si>
  <si>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</si>
  <si>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</si>
  <si>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</si>
  <si>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</si>
  <si>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</si>
  <si>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</si>
  <si>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</si>
  <si>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</si>
  <si>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</si>
  <si>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</si>
  <si>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</si>
  <si>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</si>
  <si>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</si>
  <si>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</si>
  <si>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</si>
  <si>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Sensibilizar al equipo de Administración de personal semestralmente  sobre el código de integridad   y publicaciónes 4 veces en el año en el canal SDS comunicaciones sobre el mismo. Evidencia lista de asistencia  e imagen de la publicaciones</t>
  </si>
  <si>
    <t>Se informará al líder del proceso para la toma de decisiones.</t>
  </si>
  <si>
    <t>Sensibilizar al equipo de Nómina semestralmente  sobre el código de integridad   y publicaciónes 4 veces en el año en el canal SDS comunicaciones sobre el mismo. Evidencia lista de asistencia  e imagen de la publicaciones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</si>
  <si>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</si>
  <si>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</si>
  <si>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</si>
  <si>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</si>
  <si>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</si>
  <si>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</si>
  <si>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</si>
  <si>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</si>
  <si>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</si>
  <si>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</si>
  <si>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</si>
  <si>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</si>
  <si>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 xml:space="preserve">Designará para la realización del  porceso  a un funcionario de planta   y un tecnico capacitado </t>
  </si>
  <si>
    <t>El funcionario debe contar con funciones asocadas al objetivo del proceso contractual y el tecnico debe contar con formación certificada con el objeto del proceso</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</si>
  <si>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</si>
  <si>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tecnico </t>
  </si>
  <si>
    <t>Documentos precontractuales Firmado, Documento de constancia de designación.</t>
  </si>
  <si>
    <t>Humanos</t>
  </si>
  <si>
    <t xml:space="preserve">Definición de las necesidades del proceso precontractual </t>
  </si>
  <si>
    <t>El funcionario a designado</t>
  </si>
  <si>
    <t>Definira con los interesados las obligaciones, los productos y justificación de los procesos</t>
  </si>
  <si>
    <t>La definición se realizará por medio de mesa de trabajo entre el funcionario designado y los interesados</t>
  </si>
  <si>
    <t>En caso de que el proceso se realice sin la definición y aprobación por parte de los interesados, el proceso no sera aprobado por el Director</t>
  </si>
  <si>
    <t>como evidenica se contara con las Actas de Reunión de la definición de los parametros</t>
  </si>
  <si>
    <t>Actas de Reunión</t>
  </si>
  <si>
    <t>Revisión de las actvidades de precontractuales</t>
  </si>
  <si>
    <t>Desarrollara las actividades de la etapa precontractual (Documentación y Gestión)</t>
  </si>
  <si>
    <t>de acuerdo a lo establecido en el Manual de Contratación SDS-FFDS (SDS-CON-MN-001) y en el Lineamiento para la Supervisión e Interventoria de Contratos o Convenios (SDS-CON-LN-006)</t>
  </si>
  <si>
    <t>En caso de de que el proceso se realice sin el cumplimiento de alguno de los requerimientos descritosen los documentos mencionados, el proceso no sera aprobado por el Director</t>
  </si>
  <si>
    <t>Como evidencia se contará con la documentación y soportes del desarrollo de la etapa contractual</t>
  </si>
  <si>
    <t>Documentos precontractuales Firmado</t>
  </si>
  <si>
    <t>Actualización de Directorio Activo</t>
  </si>
  <si>
    <t>El Administrador del Directorio Activo</t>
  </si>
  <si>
    <t>Cada vez que se requiera</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</si>
  <si>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</si>
  <si>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</si>
  <si>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</si>
  <si>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Correos de informe de Talento Humano
Informe de los casos solucionados por la mesa de ayuda.</t>
  </si>
  <si>
    <t>Correos Electornicos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</si>
  <si>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</si>
  <si>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</si>
  <si>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</si>
  <si>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</si>
  <si>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</si>
  <si>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</si>
  <si>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</si>
  <si>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</si>
  <si>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</si>
  <si>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</si>
  <si>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</si>
  <si>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</si>
  <si>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</si>
  <si>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</si>
  <si>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</si>
  <si>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Permisos de acceso a los aplicativos y  Bases de Datos de aseguramiento  por parte de funcionarios o contratistas que ya no se encuentren vinculados a la Dirección de Aseguramiento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</si>
  <si>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</si>
  <si>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</si>
  <si>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No prestación del servicio de salud facturado o prestación de servicios incompletos o no autorizados
Falta de conocimiento de lineamientos  normativos para auditoria de cuentas médicas. 
Las EPS, IPS y/o proveedores  realicen doble presentación de facturas y/o recobros, e información falsa de prestación de servicios de salud de la población a cargo del FFDS. 
Se creen viculos entre el personal de la SDS y la EPS, IPS y/o proveedores que generen acciones irregulares en la autorización de los pagos</t>
  </si>
  <si>
    <t xml:space="preserve">Las EPS, IPS y/o proveedores  realicen doble presentación de facturas y/o recobros, e información falsa de prestación de servicios de salud de la población a cargo del FFDS. </t>
  </si>
  <si>
    <t>Dirección Financiera</t>
  </si>
  <si>
    <t>Posible afectación reputacional por el reconocimiento   y/o autorizarización   de pagos indebidos a las EPS, IPS y/o  proveedores  sin relación contractual con la SDS-FFDS.</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</si>
  <si>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</si>
  <si>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t>
  </si>
  <si>
    <t>Posibilidad de afectación reputacional por el no reporte  a la Super Intendencia Nacional de Salud sin el  total de  incumplimientos de las EPS  evidenciados en las visitas de IVS y GAUDI por parte de la Dirección de Aseguramiento y Garantía del Derecho a la Salud.</t>
  </si>
  <si>
    <t>Bloqueo Usuario</t>
  </si>
  <si>
    <t>El Supervisor del Contrato y/o el Subdirección de Administración del Aseguramiento</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</si>
  <si>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</si>
  <si>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</si>
  <si>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</si>
  <si>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activación de la cuenta, teniendo en cuenta que la Dirección TIC cancela automáticamente las cuentas de red al cumplirse la fecha de terminación del contrato" </t>
  </si>
  <si>
    <t>Humano
Tecnológico
Financiero</t>
  </si>
  <si>
    <t xml:space="preserve">Validación de facturas </t>
  </si>
  <si>
    <t xml:space="preserve">El Profesional (Ing.) </t>
  </si>
  <si>
    <t xml:space="preserve">A la recepción y radicación de cuentas medicas, verifica y realiza  cruce con los sistemas de información disponibles en la Subdirección de Garantía del Aseguramiento, para evitar un posible doble cobro de las facturas y/o recobros presentadas por la IPS y EPS
Genera certificación mensual
</t>
  </si>
  <si>
    <t>Cruce con las bases de datos  disponibles en la Subdirección de Garantía del Aseguramiento, para evitar un posible doble cobro de las facturas y/o recobros presentadas por la IPS y EPS,</t>
  </si>
  <si>
    <t>Si se evidencia una doble facturación se verifica con los analistas de cuentas y se genera una certificación mensual de lo evidenciado en el periodo Oficio de posible doble factura.</t>
  </si>
  <si>
    <t>Certificación mensual de lo evidenciado en el periodo.</t>
  </si>
  <si>
    <t>Verificación de la prestación del servicio</t>
  </si>
  <si>
    <t xml:space="preserve">Los Analistas </t>
  </si>
  <si>
    <t>Trimestral</t>
  </si>
  <si>
    <t>Verifican aleatoriamente si los servicios facturados en la cuenta médica fueron prestados efectivamente</t>
  </si>
  <si>
    <t>Validaciónde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</si>
  <si>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</si>
  <si>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</si>
  <si>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Formatos de seguimiento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</si>
  <si>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</si>
  <si>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</si>
  <si>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</si>
  <si>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Correo electrónico y actas de reunión,  verificando la utilización de los nuevos formatos establecidos  (el control aplica en caso de que la auditoria se realice por un equipo interno de la SDS)</t>
  </si>
  <si>
    <t>Verificando la utilización de los nuevos cambios</t>
  </si>
  <si>
    <t>Correo
Actas
Formatos</t>
  </si>
  <si>
    <t>Rotación e grupos auditores</t>
  </si>
  <si>
    <t>Anualmente</t>
  </si>
  <si>
    <t>Realiza rotación de asignación de IPS - Proveedores, para el proceso de auditoria,</t>
  </si>
  <si>
    <t>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</si>
  <si>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</si>
  <si>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Revisión del marco normativo </t>
  </si>
  <si>
    <t xml:space="preserve">El Subdirector de Garantía del Aseguramiento - Líder del grupo de IVS-  Grupo auditor, </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</si>
  <si>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</si>
  <si>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</si>
  <si>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</si>
  <si>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</si>
  <si>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
Guía de Auditoria GAUDI</t>
  </si>
  <si>
    <t xml:space="preserve">Revisón cumplimiento del plan </t>
  </si>
  <si>
    <t>Semestral</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</si>
  <si>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</si>
  <si>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</si>
  <si>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</si>
  <si>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</si>
  <si>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Cronograma  de IVS
Actas de Auditoria</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</si>
  <si>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</si>
  <si>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</si>
  <si>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</si>
  <si>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</si>
  <si>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</si>
  <si>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Se actualiza y publica el mapa de riesgos de corrupción de la SDS.</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</si>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</sst>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3">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sz val="12"/>
      <color theme="1"/>
      <name val="Arial Narrow"/>
      <family val="2"/>
    </font>
    <font>
      <b/>
      <sz val="14"/>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thin"/>
      <right/>
      <top style="medium"/>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top/>
      <bottom style="thin"/>
    </border>
    <border>
      <left style="thin"/>
      <right/>
      <top style="thin"/>
      <bottom/>
    </border>
    <border>
      <left style="medium"/>
      <right style="thin"/>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medium"/>
      <right style="thin"/>
      <top/>
      <bottom/>
    </border>
    <border>
      <left style="thin"/>
      <right style="thin"/>
      <top/>
      <bottom style="medium"/>
    </border>
    <border>
      <left style="thin"/>
      <right style="medium"/>
      <top/>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90">
    <xf numFmtId="0" fontId="0" fillId="0" borderId="0" xfId="0" applyFont="1" applyAlignment="1">
      <alignment/>
    </xf>
    <xf numFmtId="0" fontId="43" fillId="33" borderId="0" xfId="0" applyFont="1" applyFill="1" applyAlignment="1">
      <alignment/>
    </xf>
    <xf numFmtId="0" fontId="56" fillId="0" borderId="0" xfId="0" applyFont="1" applyAlignment="1">
      <alignment/>
    </xf>
    <xf numFmtId="0" fontId="0" fillId="0" borderId="10" xfId="0" applyBorder="1" applyAlignment="1">
      <alignment/>
    </xf>
    <xf numFmtId="0" fontId="18" fillId="34" borderId="0" xfId="0" applyFont="1" applyFill="1" applyAlignment="1">
      <alignment vertical="center"/>
    </xf>
    <xf numFmtId="0" fontId="43"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6" fillId="0" borderId="0" xfId="0" applyFont="1" applyAlignment="1">
      <alignment horizontal="center" vertical="center"/>
    </xf>
    <xf numFmtId="0" fontId="56" fillId="0" borderId="13" xfId="0" applyFont="1" applyBorder="1" applyAlignment="1">
      <alignment horizontal="center" vertical="center"/>
    </xf>
    <xf numFmtId="0" fontId="56" fillId="37" borderId="0" xfId="0" applyFont="1" applyFill="1" applyAlignment="1">
      <alignment horizontal="center" vertical="center"/>
    </xf>
    <xf numFmtId="0" fontId="56" fillId="24" borderId="0" xfId="0" applyFont="1" applyFill="1" applyAlignment="1">
      <alignment horizontal="center" vertical="center"/>
    </xf>
    <xf numFmtId="0" fontId="56" fillId="38" borderId="0" xfId="0" applyFont="1" applyFill="1" applyAlignment="1">
      <alignment horizontal="center" vertical="center"/>
    </xf>
    <xf numFmtId="0" fontId="56" fillId="39" borderId="0" xfId="0" applyFont="1" applyFill="1" applyAlignment="1">
      <alignment horizontal="center" vertical="center"/>
    </xf>
    <xf numFmtId="0" fontId="57" fillId="39" borderId="14" xfId="0" applyFont="1" applyFill="1" applyBorder="1" applyAlignment="1">
      <alignment horizontal="center" vertical="center" wrapText="1" readingOrder="1"/>
    </xf>
    <xf numFmtId="0" fontId="57" fillId="40" borderId="15" xfId="0" applyFont="1" applyFill="1" applyBorder="1" applyAlignment="1">
      <alignment horizontal="center" vertical="center" wrapText="1" readingOrder="1"/>
    </xf>
    <xf numFmtId="0" fontId="57" fillId="41" borderId="15" xfId="0" applyFont="1" applyFill="1" applyBorder="1" applyAlignment="1">
      <alignment horizontal="center" vertical="center" wrapText="1" readingOrder="1"/>
    </xf>
    <xf numFmtId="0" fontId="57" fillId="42" borderId="15" xfId="0" applyFont="1" applyFill="1" applyBorder="1" applyAlignment="1">
      <alignment horizontal="center" vertical="center" wrapText="1" readingOrder="1"/>
    </xf>
    <xf numFmtId="0" fontId="58" fillId="37" borderId="15" xfId="0" applyFont="1" applyFill="1" applyBorder="1" applyAlignment="1">
      <alignment horizontal="center" vertical="center" wrapText="1" readingOrder="1"/>
    </xf>
    <xf numFmtId="0" fontId="59" fillId="43" borderId="13" xfId="0" applyFont="1" applyFill="1" applyBorder="1" applyAlignment="1">
      <alignment horizontal="center" vertical="center" wrapText="1" readingOrder="1"/>
    </xf>
    <xf numFmtId="9" fontId="57" fillId="0" borderId="13" xfId="0" applyNumberFormat="1" applyFont="1" applyBorder="1" applyAlignment="1">
      <alignment horizontal="center" vertical="center" wrapText="1" readingOrder="1"/>
    </xf>
    <xf numFmtId="9" fontId="0" fillId="0" borderId="0" xfId="0" applyNumberFormat="1" applyAlignment="1">
      <alignment/>
    </xf>
    <xf numFmtId="0" fontId="59" fillId="43" borderId="16" xfId="0" applyFont="1" applyFill="1" applyBorder="1" applyAlignment="1">
      <alignment horizontal="center" vertical="center" wrapText="1" readingOrder="1"/>
    </xf>
    <xf numFmtId="0" fontId="59" fillId="43" borderId="0" xfId="0" applyFont="1" applyFill="1" applyAlignment="1">
      <alignment horizontal="center" vertical="center" wrapText="1" readingOrder="1"/>
    </xf>
    <xf numFmtId="0" fontId="59" fillId="43" borderId="17" xfId="0" applyFont="1" applyFill="1" applyBorder="1" applyAlignment="1">
      <alignment horizontal="center" vertical="center" wrapText="1" readingOrder="1"/>
    </xf>
    <xf numFmtId="0" fontId="57" fillId="0" borderId="18" xfId="0" applyFont="1" applyBorder="1" applyAlignment="1">
      <alignment horizontal="center" vertical="center" wrapText="1" readingOrder="1"/>
    </xf>
    <xf numFmtId="0" fontId="57" fillId="0" borderId="19" xfId="0" applyFont="1" applyBorder="1" applyAlignment="1">
      <alignment horizontal="center" vertical="center" wrapText="1" readingOrder="1"/>
    </xf>
    <xf numFmtId="0" fontId="57" fillId="0" borderId="18" xfId="0" applyFont="1" applyBorder="1" applyAlignment="1">
      <alignment horizontal="justify" vertical="center" wrapText="1" readingOrder="1"/>
    </xf>
    <xf numFmtId="0" fontId="57" fillId="0" borderId="19" xfId="0" applyFont="1" applyBorder="1" applyAlignment="1">
      <alignment horizontal="justify" vertical="center" wrapText="1" readingOrder="1"/>
    </xf>
    <xf numFmtId="0" fontId="57" fillId="0" borderId="20" xfId="0" applyFont="1" applyBorder="1" applyAlignment="1">
      <alignment horizontal="justify" vertical="center" wrapText="1" readingOrder="1"/>
    </xf>
    <xf numFmtId="0" fontId="58" fillId="37" borderId="21" xfId="0" applyFont="1" applyFill="1" applyBorder="1" applyAlignment="1">
      <alignment horizontal="center" vertical="center" wrapText="1" readingOrder="1"/>
    </xf>
    <xf numFmtId="0" fontId="59" fillId="43" borderId="22" xfId="0" applyFont="1" applyFill="1" applyBorder="1" applyAlignment="1">
      <alignment horizontal="center" vertical="center" wrapText="1" readingOrder="1"/>
    </xf>
    <xf numFmtId="9" fontId="57"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7" fillId="0" borderId="0" xfId="0" applyFont="1" applyAlignment="1">
      <alignment horizontal="center" vertical="center" wrapText="1" readingOrder="1"/>
    </xf>
    <xf numFmtId="0" fontId="59" fillId="43" borderId="25" xfId="0" applyFont="1" applyFill="1" applyBorder="1" applyAlignment="1">
      <alignment horizontal="center" vertical="center" wrapText="1" readingOrder="1"/>
    </xf>
    <xf numFmtId="0" fontId="57" fillId="0" borderId="25" xfId="0" applyFont="1" applyBorder="1" applyAlignment="1">
      <alignment horizontal="justify" vertical="center" wrapText="1" readingOrder="1"/>
    </xf>
    <xf numFmtId="0" fontId="57" fillId="39" borderId="22" xfId="0" applyFont="1" applyFill="1" applyBorder="1" applyAlignment="1">
      <alignment horizontal="center" vertical="center" wrapText="1" readingOrder="1"/>
    </xf>
    <xf numFmtId="0" fontId="57" fillId="40" borderId="22" xfId="0" applyFont="1" applyFill="1" applyBorder="1" applyAlignment="1">
      <alignment horizontal="center" vertical="center" wrapText="1" readingOrder="1"/>
    </xf>
    <xf numFmtId="0" fontId="57" fillId="41" borderId="22" xfId="0" applyFont="1" applyFill="1" applyBorder="1" applyAlignment="1">
      <alignment horizontal="center" vertical="center" wrapText="1" readingOrder="1"/>
    </xf>
    <xf numFmtId="0" fontId="57" fillId="42" borderId="22" xfId="0" applyFont="1" applyFill="1" applyBorder="1" applyAlignment="1">
      <alignment horizontal="center" vertical="center" wrapText="1" readingOrder="1"/>
    </xf>
    <xf numFmtId="0" fontId="57" fillId="0" borderId="26" xfId="0" applyFont="1" applyBorder="1" applyAlignment="1">
      <alignment horizontal="justify" vertical="center" wrapText="1" readingOrder="1"/>
    </xf>
    <xf numFmtId="0" fontId="0" fillId="0" borderId="23" xfId="0" applyBorder="1" applyAlignment="1">
      <alignment horizontal="center" vertical="center"/>
    </xf>
    <xf numFmtId="0" fontId="18"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0" fillId="0" borderId="13" xfId="0" applyFont="1" applyBorder="1" applyAlignment="1">
      <alignment vertical="center" wrapText="1"/>
    </xf>
    <xf numFmtId="0" fontId="56" fillId="0" borderId="13" xfId="0" applyFont="1" applyBorder="1" applyAlignment="1">
      <alignment vertical="center"/>
    </xf>
    <xf numFmtId="0" fontId="61" fillId="7" borderId="28" xfId="0" applyFont="1" applyFill="1" applyBorder="1" applyAlignment="1">
      <alignment horizontal="center" vertical="center" wrapText="1" readingOrder="1"/>
    </xf>
    <xf numFmtId="0" fontId="62" fillId="34" borderId="29" xfId="0" applyFont="1" applyFill="1" applyBorder="1" applyAlignment="1">
      <alignment horizontal="justify" vertical="center" wrapText="1" readingOrder="1"/>
    </xf>
    <xf numFmtId="9" fontId="61" fillId="34" borderId="30" xfId="0" applyNumberFormat="1" applyFont="1" applyFill="1" applyBorder="1" applyAlignment="1">
      <alignment horizontal="center" vertical="center" wrapText="1" readingOrder="1"/>
    </xf>
    <xf numFmtId="0" fontId="62" fillId="34" borderId="13" xfId="0" applyFont="1" applyFill="1" applyBorder="1" applyAlignment="1">
      <alignment horizontal="justify" vertical="center" wrapText="1" readingOrder="1"/>
    </xf>
    <xf numFmtId="9" fontId="61" fillId="34" borderId="22" xfId="0" applyNumberFormat="1" applyFont="1" applyFill="1" applyBorder="1" applyAlignment="1">
      <alignment horizontal="center" vertical="center" wrapText="1" readingOrder="1"/>
    </xf>
    <xf numFmtId="0" fontId="62" fillId="34" borderId="22" xfId="0" applyFont="1" applyFill="1" applyBorder="1" applyAlignment="1">
      <alignment horizontal="center" vertical="center" wrapText="1" readingOrder="1"/>
    </xf>
    <xf numFmtId="0" fontId="62" fillId="34" borderId="23" xfId="0" applyFont="1" applyFill="1" applyBorder="1" applyAlignment="1">
      <alignment horizontal="justify" vertical="center" wrapText="1" readingOrder="1"/>
    </xf>
    <xf numFmtId="0" fontId="62"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2" fillId="34" borderId="25"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43" fillId="33" borderId="0" xfId="0" applyFont="1" applyFill="1" applyAlignment="1">
      <alignment/>
    </xf>
    <xf numFmtId="0" fontId="57" fillId="0" borderId="0" xfId="0" applyFont="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xf numFmtId="0" fontId="57" fillId="0" borderId="0" xfId="0" applyFont="1" applyAlignment="1">
      <alignment horizontal="justify" vertical="center" readingOrder="1"/>
    </xf>
    <xf numFmtId="0" fontId="59" fillId="43" borderId="34" xfId="0" applyFont="1" applyFill="1" applyBorder="1" applyAlignment="1">
      <alignment horizontal="center" vertical="center" wrapText="1" readingOrder="1"/>
    </xf>
    <xf numFmtId="0" fontId="59" fillId="43" borderId="35" xfId="0" applyFont="1" applyFill="1" applyBorder="1" applyAlignment="1">
      <alignment horizontal="center" vertical="center" wrapText="1" readingOrder="1"/>
    </xf>
    <xf numFmtId="0" fontId="0" fillId="0" borderId="0" xfId="0" applyFont="1" applyAlignment="1">
      <alignment/>
    </xf>
    <xf numFmtId="0" fontId="60" fillId="0" borderId="13" xfId="0" applyFont="1" applyBorder="1" applyAlignment="1" applyProtection="1">
      <alignment horizontal="justify" vertical="center"/>
      <protection locked="0"/>
    </xf>
    <xf numFmtId="0" fontId="60" fillId="0" borderId="13" xfId="0" applyFont="1" applyBorder="1" applyAlignment="1" applyProtection="1">
      <alignment horizontal="center" vertical="center" wrapText="1"/>
      <protection locked="0"/>
    </xf>
    <xf numFmtId="0" fontId="60" fillId="0" borderId="29" xfId="0" applyFont="1" applyBorder="1" applyAlignment="1" applyProtection="1">
      <alignment horizontal="justify" vertical="center"/>
      <protection locked="0"/>
    </xf>
    <xf numFmtId="0" fontId="60" fillId="0" borderId="29" xfId="0" applyFont="1" applyBorder="1" applyAlignment="1" applyProtection="1">
      <alignment horizontal="center" vertical="center" wrapText="1"/>
      <protection locked="0"/>
    </xf>
    <xf numFmtId="0" fontId="60" fillId="0" borderId="36" xfId="0" applyFont="1" applyBorder="1" applyAlignment="1" applyProtection="1">
      <alignment horizontal="justify" vertical="center"/>
      <protection locked="0"/>
    </xf>
    <xf numFmtId="0" fontId="60" fillId="0" borderId="36" xfId="0" applyFont="1" applyBorder="1" applyAlignment="1" applyProtection="1">
      <alignment horizontal="center" vertical="center" wrapText="1"/>
      <protection locked="0"/>
    </xf>
    <xf numFmtId="9" fontId="60" fillId="6" borderId="35" xfId="0" applyNumberFormat="1" applyFont="1" applyFill="1" applyBorder="1" applyAlignment="1" applyProtection="1">
      <alignment horizontal="center" vertical="center" wrapText="1"/>
      <protection hidden="1"/>
    </xf>
    <xf numFmtId="9" fontId="60" fillId="6" borderId="22" xfId="0" applyNumberFormat="1" applyFont="1" applyFill="1" applyBorder="1" applyAlignment="1" applyProtection="1">
      <alignment horizontal="center" vertical="center" wrapText="1"/>
      <protection hidden="1"/>
    </xf>
    <xf numFmtId="9" fontId="60" fillId="6" borderId="30" xfId="0"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wrapText="1"/>
      <protection hidden="1"/>
    </xf>
    <xf numFmtId="0" fontId="0" fillId="0" borderId="0" xfId="0" applyAlignment="1" applyProtection="1">
      <alignment/>
      <protection locked="0"/>
    </xf>
    <xf numFmtId="0" fontId="63" fillId="0" borderId="34" xfId="0" applyFont="1" applyBorder="1" applyAlignment="1" applyProtection="1">
      <alignment horizontal="center" vertical="center"/>
      <protection locked="0"/>
    </xf>
    <xf numFmtId="0" fontId="63" fillId="0" borderId="25"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4" fillId="23" borderId="13" xfId="0" applyFont="1" applyFill="1" applyBorder="1" applyAlignment="1" applyProtection="1">
      <alignment horizontal="center" vertical="center"/>
      <protection locked="0"/>
    </xf>
    <xf numFmtId="0" fontId="64" fillId="23" borderId="13" xfId="0" applyFont="1" applyFill="1" applyBorder="1" applyAlignment="1" applyProtection="1">
      <alignment vertical="center"/>
      <protection locked="0"/>
    </xf>
    <xf numFmtId="0" fontId="65" fillId="0" borderId="13" xfId="0" applyFont="1" applyBorder="1" applyAlignment="1" applyProtection="1">
      <alignment horizontal="left"/>
      <protection locked="0"/>
    </xf>
    <xf numFmtId="0" fontId="63" fillId="44" borderId="36" xfId="0" applyFont="1" applyFill="1" applyBorder="1" applyAlignment="1">
      <alignment horizontal="center" vertical="center" textRotation="90" wrapText="1"/>
    </xf>
    <xf numFmtId="0" fontId="63" fillId="44" borderId="38" xfId="0" applyFont="1" applyFill="1" applyBorder="1" applyAlignment="1">
      <alignment horizontal="center" vertical="center" wrapText="1"/>
    </xf>
    <xf numFmtId="0" fontId="63" fillId="44" borderId="38"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40" xfId="0" applyFont="1" applyFill="1" applyBorder="1" applyAlignment="1" applyProtection="1">
      <alignment horizontal="center" vertical="center"/>
      <protection hidden="1"/>
    </xf>
    <xf numFmtId="164" fontId="60" fillId="6" borderId="36" xfId="53" applyNumberFormat="1"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protection hidden="1"/>
    </xf>
    <xf numFmtId="0" fontId="60" fillId="6" borderId="41" xfId="0" applyFont="1" applyFill="1" applyBorder="1" applyAlignment="1" applyProtection="1">
      <alignment horizontal="center" vertical="center"/>
      <protection hidden="1"/>
    </xf>
    <xf numFmtId="164" fontId="60" fillId="6" borderId="13" xfId="53" applyNumberFormat="1"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protection hidden="1"/>
    </xf>
    <xf numFmtId="164" fontId="60" fillId="6" borderId="29" xfId="53"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protection hidden="1"/>
    </xf>
    <xf numFmtId="0" fontId="63" fillId="44" borderId="42" xfId="0" applyFont="1" applyFill="1" applyBorder="1" applyAlignment="1">
      <alignment horizontal="center" vertical="center" wrapText="1"/>
    </xf>
    <xf numFmtId="0" fontId="60" fillId="6" borderId="43" xfId="0" applyFont="1" applyFill="1" applyBorder="1" applyAlignment="1" applyProtection="1">
      <alignment horizontal="center" vertical="center"/>
      <protection hidden="1"/>
    </xf>
    <xf numFmtId="0" fontId="64"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6"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7"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0" fillId="0" borderId="54"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57"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34"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9" fontId="60" fillId="6" borderId="36" xfId="0" applyNumberFormat="1" applyFont="1" applyFill="1" applyBorder="1" applyAlignment="1" applyProtection="1">
      <alignment horizontal="center" vertical="center" wrapText="1"/>
      <protection hidden="1"/>
    </xf>
    <xf numFmtId="9" fontId="60" fillId="6" borderId="36" xfId="0" applyNumberFormat="1" applyFont="1" applyFill="1" applyBorder="1" applyAlignment="1" applyProtection="1">
      <alignment horizontal="center" vertical="center"/>
      <protection hidden="1"/>
    </xf>
    <xf numFmtId="0" fontId="67" fillId="0" borderId="34" xfId="0" applyFont="1" applyBorder="1" applyAlignment="1" applyProtection="1">
      <alignment horizontal="center" vertical="center"/>
      <protection locked="0"/>
    </xf>
    <xf numFmtId="0" fontId="60" fillId="0" borderId="55" xfId="0" applyFont="1" applyBorder="1" applyAlignment="1" applyProtection="1">
      <alignment horizontal="center" vertical="center"/>
      <protection locked="0"/>
    </xf>
    <xf numFmtId="0" fontId="60" fillId="0" borderId="13" xfId="0" applyFont="1" applyBorder="1" applyAlignment="1" applyProtection="1">
      <alignment horizontal="justify" vertical="center" wrapText="1"/>
      <protection locked="0"/>
    </xf>
    <xf numFmtId="0" fontId="60" fillId="0" borderId="36" xfId="0" applyFont="1" applyBorder="1" applyAlignment="1" applyProtection="1">
      <alignment horizontal="justify" vertical="center" wrapText="1"/>
      <protection locked="0"/>
    </xf>
    <xf numFmtId="0" fontId="64" fillId="23" borderId="13" xfId="0" applyFont="1" applyFill="1" applyBorder="1" applyAlignment="1" applyProtection="1">
      <alignment horizontal="center" vertical="center"/>
      <protection locked="0"/>
    </xf>
    <xf numFmtId="0" fontId="56" fillId="0" borderId="13" xfId="0"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3" fillId="44" borderId="36" xfId="0" applyFont="1" applyFill="1" applyBorder="1" applyAlignment="1">
      <alignment horizontal="center" vertical="center" wrapText="1"/>
    </xf>
    <xf numFmtId="0" fontId="63" fillId="44" borderId="38" xfId="0" applyFont="1" applyFill="1" applyBorder="1" applyAlignment="1">
      <alignment horizontal="center" vertical="center" wrapText="1"/>
    </xf>
    <xf numFmtId="0" fontId="63" fillId="44" borderId="54" xfId="0" applyFont="1" applyFill="1" applyBorder="1" applyAlignment="1">
      <alignment horizontal="center" vertical="center" wrapText="1"/>
    </xf>
    <xf numFmtId="0" fontId="63" fillId="44" borderId="60" xfId="0" applyFont="1" applyFill="1" applyBorder="1" applyAlignment="1">
      <alignment horizontal="center" vertical="center" wrapText="1"/>
    </xf>
    <xf numFmtId="0" fontId="63" fillId="6" borderId="36" xfId="0" applyFont="1" applyFill="1" applyBorder="1" applyAlignment="1">
      <alignment horizontal="center" vertical="center" textRotation="90" wrapText="1"/>
    </xf>
    <xf numFmtId="0" fontId="63" fillId="6" borderId="38" xfId="0" applyFont="1" applyFill="1" applyBorder="1" applyAlignment="1">
      <alignment horizontal="center" vertical="center" textRotation="90" wrapText="1"/>
    </xf>
    <xf numFmtId="0" fontId="63" fillId="44" borderId="35" xfId="0" applyFont="1" applyFill="1" applyBorder="1" applyAlignment="1">
      <alignment horizontal="center" vertical="center" textRotation="90" wrapText="1"/>
    </xf>
    <xf numFmtId="0" fontId="63" fillId="44" borderId="39" xfId="0" applyFont="1" applyFill="1" applyBorder="1" applyAlignment="1">
      <alignment horizontal="center" vertical="center" textRotation="90" wrapText="1"/>
    </xf>
    <xf numFmtId="0" fontId="63" fillId="44" borderId="34" xfId="0" applyFont="1" applyFill="1" applyBorder="1" applyAlignment="1">
      <alignment horizontal="center" vertical="center" textRotation="90" wrapText="1"/>
    </xf>
    <xf numFmtId="0" fontId="63" fillId="44" borderId="61" xfId="0" applyFont="1" applyFill="1" applyBorder="1" applyAlignment="1">
      <alignment horizontal="center" vertical="center" textRotation="90" wrapText="1"/>
    </xf>
    <xf numFmtId="0" fontId="63" fillId="6" borderId="36" xfId="0" applyFont="1" applyFill="1" applyBorder="1" applyAlignment="1">
      <alignment horizontal="center" vertical="center" wrapText="1"/>
    </xf>
    <xf numFmtId="0" fontId="63" fillId="6" borderId="38" xfId="0" applyFont="1" applyFill="1" applyBorder="1" applyAlignment="1">
      <alignment horizontal="center" vertical="center" wrapText="1"/>
    </xf>
    <xf numFmtId="0" fontId="63" fillId="44" borderId="35" xfId="0" applyFont="1" applyFill="1" applyBorder="1" applyAlignment="1">
      <alignment horizontal="center" vertical="center" wrapText="1"/>
    </xf>
    <xf numFmtId="0" fontId="63" fillId="6" borderId="40" xfId="0" applyFont="1" applyFill="1" applyBorder="1" applyAlignment="1">
      <alignment horizontal="center" vertical="center" textRotation="90" wrapText="1"/>
    </xf>
    <xf numFmtId="0" fontId="63" fillId="6" borderId="62" xfId="0" applyFont="1" applyFill="1" applyBorder="1" applyAlignment="1">
      <alignment horizontal="center" vertical="center" textRotation="90" wrapText="1"/>
    </xf>
    <xf numFmtId="0" fontId="63" fillId="44" borderId="58" xfId="0" applyFont="1" applyFill="1" applyBorder="1" applyAlignment="1">
      <alignment horizontal="center" vertical="center" wrapText="1"/>
    </xf>
    <xf numFmtId="0" fontId="63" fillId="44" borderId="42" xfId="0" applyFont="1" applyFill="1" applyBorder="1" applyAlignment="1">
      <alignment horizontal="center" vertical="center" wrapText="1"/>
    </xf>
    <xf numFmtId="0" fontId="63" fillId="44" borderId="34" xfId="0" applyFont="1" applyFill="1" applyBorder="1" applyAlignment="1">
      <alignment horizontal="center" vertical="center" wrapText="1"/>
    </xf>
    <xf numFmtId="0" fontId="63" fillId="44" borderId="61" xfId="0" applyFont="1" applyFill="1" applyBorder="1" applyAlignment="1">
      <alignment horizontal="center" vertical="center" wrapText="1"/>
    </xf>
    <xf numFmtId="0" fontId="63" fillId="44" borderId="40" xfId="0" applyFont="1" applyFill="1" applyBorder="1" applyAlignment="1">
      <alignment horizontal="center" vertical="center" wrapText="1"/>
    </xf>
    <xf numFmtId="0" fontId="63" fillId="44" borderId="27" xfId="0" applyFont="1" applyFill="1" applyBorder="1" applyAlignment="1">
      <alignment horizontal="center" vertical="center" wrapText="1"/>
    </xf>
    <xf numFmtId="0" fontId="64" fillId="23" borderId="44" xfId="0" applyFont="1" applyFill="1" applyBorder="1" applyAlignment="1">
      <alignment horizontal="center" vertical="center"/>
    </xf>
    <xf numFmtId="0" fontId="64" fillId="23" borderId="33" xfId="0" applyFont="1" applyFill="1" applyBorder="1" applyAlignment="1">
      <alignment horizontal="center" vertical="center"/>
    </xf>
    <xf numFmtId="0" fontId="64" fillId="23" borderId="28" xfId="0" applyFont="1" applyFill="1" applyBorder="1" applyAlignment="1">
      <alignment horizontal="center" vertical="center"/>
    </xf>
    <xf numFmtId="0" fontId="63" fillId="44" borderId="39" xfId="0" applyFont="1" applyFill="1" applyBorder="1" applyAlignment="1">
      <alignment horizontal="center" vertical="center" wrapText="1"/>
    </xf>
    <xf numFmtId="0" fontId="64" fillId="23" borderId="63" xfId="0" applyFont="1" applyFill="1" applyBorder="1" applyAlignment="1">
      <alignment horizontal="center" vertical="center"/>
    </xf>
    <xf numFmtId="0" fontId="64" fillId="23" borderId="64" xfId="0" applyFont="1" applyFill="1" applyBorder="1" applyAlignment="1">
      <alignment horizontal="center" vertical="center"/>
    </xf>
    <xf numFmtId="0" fontId="64" fillId="23" borderId="65" xfId="0" applyFont="1" applyFill="1" applyBorder="1" applyAlignment="1">
      <alignment horizontal="center" vertical="center"/>
    </xf>
    <xf numFmtId="0" fontId="64" fillId="23" borderId="66" xfId="0" applyFont="1" applyFill="1" applyBorder="1" applyAlignment="1">
      <alignment horizontal="center" vertical="center"/>
    </xf>
    <xf numFmtId="0" fontId="63" fillId="6" borderId="35"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36"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0" borderId="36"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42" xfId="0" applyFont="1" applyBorder="1" applyAlignment="1" applyProtection="1">
      <alignment horizontal="center" vertical="center" wrapText="1"/>
      <protection locked="0"/>
    </xf>
    <xf numFmtId="0" fontId="60" fillId="0" borderId="54" xfId="0" applyFont="1" applyBorder="1" applyAlignment="1" applyProtection="1">
      <alignment horizontal="center" vertical="center" wrapText="1"/>
      <protection locked="0"/>
    </xf>
    <xf numFmtId="0" fontId="60" fillId="0" borderId="67" xfId="0" applyFont="1" applyBorder="1" applyAlignment="1" applyProtection="1">
      <alignment horizontal="center" vertical="center" wrapText="1"/>
      <protection locked="0"/>
    </xf>
    <xf numFmtId="0" fontId="60" fillId="0" borderId="34" xfId="0" applyFont="1" applyBorder="1" applyAlignment="1" applyProtection="1">
      <alignment horizontal="center" vertical="center" wrapText="1"/>
      <protection locked="0"/>
    </xf>
    <xf numFmtId="0" fontId="60" fillId="0" borderId="25"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6" borderId="22"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67" xfId="0" applyFont="1" applyBorder="1" applyAlignment="1">
      <alignment horizontal="center" vertical="center" wrapText="1"/>
    </xf>
    <xf numFmtId="0" fontId="60" fillId="0" borderId="68" xfId="0" applyFont="1" applyBorder="1" applyAlignment="1">
      <alignment horizontal="center" vertical="center" wrapText="1"/>
    </xf>
    <xf numFmtId="0" fontId="68" fillId="0" borderId="67" xfId="0" applyFont="1" applyBorder="1" applyAlignment="1" applyProtection="1">
      <alignment horizontal="left" vertical="center" wrapText="1"/>
      <protection locked="0"/>
    </xf>
    <xf numFmtId="0" fontId="68" fillId="0" borderId="68"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0" fillId="0" borderId="38"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29" xfId="0" applyFont="1" applyBorder="1" applyAlignment="1">
      <alignment horizontal="center" vertical="center" wrapText="1"/>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3" xfId="0" applyBorder="1" applyAlignment="1">
      <alignment horizontal="center" vertical="center"/>
    </xf>
    <xf numFmtId="9" fontId="60" fillId="6" borderId="36" xfId="0" applyNumberFormat="1" applyFont="1" applyFill="1" applyBorder="1" applyAlignment="1" applyProtection="1">
      <alignment horizontal="center" vertical="center"/>
      <protection hidden="1"/>
    </xf>
    <xf numFmtId="9" fontId="60" fillId="6" borderId="13" xfId="0" applyNumberFormat="1" applyFont="1" applyFill="1" applyBorder="1" applyAlignment="1" applyProtection="1">
      <alignment horizontal="center" vertical="center"/>
      <protection hidden="1"/>
    </xf>
    <xf numFmtId="9" fontId="60" fillId="6" borderId="36" xfId="0" applyNumberFormat="1" applyFont="1" applyFill="1" applyBorder="1" applyAlignment="1" applyProtection="1">
      <alignment horizontal="center" vertical="center" wrapText="1"/>
      <protection hidden="1"/>
    </xf>
    <xf numFmtId="9" fontId="60" fillId="6" borderId="13" xfId="0" applyNumberFormat="1" applyFont="1" applyFill="1" applyBorder="1" applyAlignment="1" applyProtection="1">
      <alignment horizontal="center" vertical="center" wrapText="1"/>
      <protection hidden="1"/>
    </xf>
    <xf numFmtId="0" fontId="67" fillId="0" borderId="34" xfId="0" applyFont="1" applyBorder="1" applyAlignment="1" applyProtection="1">
      <alignment horizontal="center" vertical="center"/>
      <protection locked="0"/>
    </xf>
    <xf numFmtId="0" fontId="67" fillId="0" borderId="25" xfId="0" applyFont="1" applyBorder="1" applyAlignment="1" applyProtection="1">
      <alignment horizontal="center" vertical="center"/>
      <protection locked="0"/>
    </xf>
    <xf numFmtId="0" fontId="60" fillId="6" borderId="36" xfId="0" applyFont="1" applyFill="1" applyBorder="1" applyAlignment="1" applyProtection="1">
      <alignment horizontal="center" vertical="center"/>
      <protection hidden="1"/>
    </xf>
    <xf numFmtId="0" fontId="60" fillId="6" borderId="13" xfId="0" applyFont="1" applyFill="1" applyBorder="1" applyAlignment="1" applyProtection="1">
      <alignment horizontal="center" vertical="center"/>
      <protection hidden="1"/>
    </xf>
    <xf numFmtId="0" fontId="60" fillId="0" borderId="41" xfId="0" applyFont="1" applyBorder="1" applyAlignment="1">
      <alignment horizontal="center" vertical="center" wrapText="1"/>
    </xf>
    <xf numFmtId="0" fontId="60" fillId="0" borderId="55" xfId="0" applyFont="1" applyBorder="1" applyAlignment="1" applyProtection="1">
      <alignment horizontal="center" vertical="center"/>
      <protection locked="0"/>
    </xf>
    <xf numFmtId="0" fontId="60" fillId="0" borderId="56" xfId="0" applyFont="1" applyBorder="1" applyAlignment="1" applyProtection="1">
      <alignment horizontal="center" vertical="center"/>
      <protection locked="0"/>
    </xf>
    <xf numFmtId="0" fontId="60" fillId="0" borderId="57" xfId="0" applyFont="1" applyBorder="1" applyAlignment="1" applyProtection="1">
      <alignment horizontal="center" vertical="center" wrapText="1"/>
      <protection locked="0"/>
    </xf>
    <xf numFmtId="0" fontId="60" fillId="0" borderId="72"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14" fontId="60" fillId="0" borderId="42" xfId="0" applyNumberFormat="1"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29"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14" fontId="60" fillId="0" borderId="29" xfId="0" applyNumberFormat="1" applyFont="1" applyBorder="1" applyAlignment="1" applyProtection="1">
      <alignment horizontal="center" vertical="center" wrapText="1"/>
      <protection locked="0"/>
    </xf>
    <xf numFmtId="0" fontId="60" fillId="0" borderId="30" xfId="0" applyFont="1" applyBorder="1" applyAlignment="1" applyProtection="1">
      <alignment horizontal="center" vertical="center" wrapText="1"/>
      <protection locked="0"/>
    </xf>
    <xf numFmtId="0" fontId="60" fillId="0" borderId="23" xfId="0" applyFont="1" applyBorder="1" applyAlignment="1" applyProtection="1">
      <alignment horizontal="center" vertical="center" wrapText="1"/>
      <protection locked="0"/>
    </xf>
    <xf numFmtId="0" fontId="60" fillId="6" borderId="23" xfId="0" applyFont="1" applyFill="1" applyBorder="1" applyAlignment="1" applyProtection="1">
      <alignment horizontal="center" vertical="center" wrapText="1"/>
      <protection hidden="1"/>
    </xf>
    <xf numFmtId="0" fontId="60" fillId="0" borderId="73" xfId="0" applyFont="1" applyBorder="1" applyAlignment="1" applyProtection="1">
      <alignment horizontal="center" vertical="center" wrapText="1"/>
      <protection locked="0"/>
    </xf>
    <xf numFmtId="0" fontId="60" fillId="0" borderId="74" xfId="0" applyFont="1" applyBorder="1" applyAlignment="1" applyProtection="1">
      <alignment horizontal="center" vertical="center"/>
      <protection locked="0"/>
    </xf>
    <xf numFmtId="0" fontId="60" fillId="0" borderId="37" xfId="0" applyFont="1" applyBorder="1" applyAlignment="1" applyProtection="1">
      <alignment horizontal="center" vertical="center" wrapText="1"/>
      <protection locked="0"/>
    </xf>
    <xf numFmtId="0" fontId="65" fillId="0" borderId="13" xfId="0" applyFont="1" applyBorder="1" applyAlignment="1" applyProtection="1">
      <alignment horizontal="left"/>
      <protection locked="0"/>
    </xf>
    <xf numFmtId="14" fontId="56" fillId="0" borderId="13" xfId="0" applyNumberFormat="1"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8" fillId="0" borderId="13" xfId="0" applyFont="1" applyBorder="1" applyAlignment="1" applyProtection="1">
      <alignment horizontal="left" vertical="center"/>
      <protection locked="0"/>
    </xf>
    <xf numFmtId="0" fontId="69" fillId="23" borderId="63" xfId="0" applyFont="1" applyFill="1" applyBorder="1" applyAlignment="1">
      <alignment horizontal="center" vertical="center"/>
    </xf>
    <xf numFmtId="0" fontId="69" fillId="23" borderId="64" xfId="0" applyFont="1" applyFill="1" applyBorder="1" applyAlignment="1">
      <alignment horizontal="center" vertical="center"/>
    </xf>
    <xf numFmtId="0" fontId="69" fillId="23" borderId="65" xfId="0" applyFont="1" applyFill="1" applyBorder="1" applyAlignment="1">
      <alignment horizontal="center" vertical="center"/>
    </xf>
    <xf numFmtId="0" fontId="60" fillId="0" borderId="13" xfId="0" applyFont="1" applyBorder="1" applyAlignment="1">
      <alignment horizontal="center" vertical="center" wrapText="1"/>
    </xf>
    <xf numFmtId="0" fontId="60" fillId="0" borderId="13" xfId="0" applyFont="1" applyBorder="1" applyAlignment="1" applyProtection="1">
      <alignment horizontal="center" vertical="center"/>
      <protection locked="0"/>
    </xf>
    <xf numFmtId="0" fontId="68"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9" xfId="0" applyFont="1" applyFill="1" applyBorder="1" applyAlignment="1">
      <alignment horizontal="left" vertical="center" wrapText="1"/>
    </xf>
    <xf numFmtId="0" fontId="13" fillId="6" borderId="71" xfId="0" applyFont="1" applyFill="1" applyBorder="1" applyAlignment="1">
      <alignment horizontal="left" vertical="center" wrapText="1"/>
    </xf>
    <xf numFmtId="0" fontId="13" fillId="6" borderId="75" xfId="0" applyFont="1" applyFill="1" applyBorder="1" applyAlignment="1">
      <alignment horizontal="left" vertical="center" wrapText="1"/>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6" fillId="23" borderId="63" xfId="0" applyFont="1" applyFill="1" applyBorder="1" applyAlignment="1">
      <alignment horizontal="center" vertical="center"/>
    </xf>
    <xf numFmtId="0" fontId="66" fillId="23" borderId="64" xfId="0" applyFont="1" applyFill="1" applyBorder="1" applyAlignment="1">
      <alignment horizontal="center" vertical="center"/>
    </xf>
    <xf numFmtId="0" fontId="66" fillId="23" borderId="66" xfId="0" applyFont="1" applyFill="1" applyBorder="1" applyAlignment="1">
      <alignment horizontal="center" vertical="center"/>
    </xf>
    <xf numFmtId="0" fontId="8" fillId="6" borderId="76" xfId="0" applyFont="1" applyFill="1" applyBorder="1" applyAlignment="1">
      <alignment horizontal="right" vertical="center"/>
    </xf>
    <xf numFmtId="0" fontId="8" fillId="6" borderId="77" xfId="0" applyFont="1" applyFill="1" applyBorder="1" applyAlignment="1">
      <alignment horizontal="right" vertical="center"/>
    </xf>
    <xf numFmtId="0" fontId="8" fillId="6" borderId="78" xfId="0" applyFont="1" applyFill="1" applyBorder="1" applyAlignment="1">
      <alignment horizontal="right" vertical="center"/>
    </xf>
    <xf numFmtId="0" fontId="8" fillId="6" borderId="79" xfId="0" applyFont="1" applyFill="1" applyBorder="1" applyAlignment="1">
      <alignment horizontal="right" vertical="center"/>
    </xf>
    <xf numFmtId="0" fontId="70" fillId="46" borderId="78" xfId="0" applyFont="1" applyFill="1" applyBorder="1" applyAlignment="1">
      <alignment horizontal="right" vertical="center"/>
    </xf>
    <xf numFmtId="0" fontId="70" fillId="46" borderId="79" xfId="0" applyFont="1" applyFill="1" applyBorder="1" applyAlignment="1">
      <alignment horizontal="right" vertical="center"/>
    </xf>
    <xf numFmtId="0" fontId="71" fillId="34" borderId="0" xfId="0" applyFont="1" applyFill="1" applyAlignment="1">
      <alignment horizontal="justify" vertical="center" wrapText="1"/>
    </xf>
    <xf numFmtId="0" fontId="56" fillId="47" borderId="34" xfId="0" applyFont="1" applyFill="1" applyBorder="1" applyAlignment="1">
      <alignment horizontal="center" vertical="center"/>
    </xf>
    <xf numFmtId="0" fontId="56" fillId="47" borderId="36" xfId="0" applyFont="1" applyFill="1" applyBorder="1" applyAlignment="1">
      <alignment horizontal="center" vertical="center"/>
    </xf>
    <xf numFmtId="0" fontId="56" fillId="47" borderId="35" xfId="0" applyFont="1" applyFill="1" applyBorder="1" applyAlignment="1">
      <alignment horizontal="center" vertical="center"/>
    </xf>
    <xf numFmtId="0" fontId="47" fillId="23" borderId="13" xfId="39" applyBorder="1" applyAlignment="1">
      <alignment horizontal="center"/>
    </xf>
    <xf numFmtId="0" fontId="56" fillId="47" borderId="80" xfId="0" applyFont="1" applyFill="1" applyBorder="1" applyAlignment="1">
      <alignment horizontal="center" vertical="center"/>
    </xf>
    <xf numFmtId="0" fontId="56" fillId="47" borderId="81" xfId="0" applyFont="1" applyFill="1" applyBorder="1" applyAlignment="1">
      <alignment horizontal="center" vertical="center"/>
    </xf>
    <xf numFmtId="0" fontId="56" fillId="47" borderId="82" xfId="0" applyFont="1" applyFill="1" applyBorder="1" applyAlignment="1">
      <alignment horizontal="center" vertical="center"/>
    </xf>
    <xf numFmtId="0" fontId="59" fillId="43" borderId="59" xfId="0" applyFont="1" applyFill="1" applyBorder="1" applyAlignment="1">
      <alignment horizontal="center" vertical="center" wrapText="1" readingOrder="1"/>
    </xf>
    <xf numFmtId="0" fontId="59" fillId="43" borderId="71" xfId="0" applyFont="1" applyFill="1" applyBorder="1" applyAlignment="1">
      <alignment horizontal="center" vertical="center" wrapText="1" readingOrder="1"/>
    </xf>
    <xf numFmtId="0" fontId="72" fillId="7" borderId="63" xfId="0" applyFont="1" applyFill="1" applyBorder="1" applyAlignment="1">
      <alignment horizontal="center" vertical="center" wrapText="1" readingOrder="1"/>
    </xf>
    <xf numFmtId="0" fontId="72" fillId="7" borderId="64"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61" fillId="7" borderId="44" xfId="0" applyFont="1" applyFill="1" applyBorder="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37" xfId="0" applyFont="1" applyFill="1" applyBorder="1" applyAlignment="1">
      <alignment horizontal="center" vertical="center" wrapText="1" readingOrder="1"/>
    </xf>
    <xf numFmtId="0" fontId="61" fillId="34" borderId="25"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6"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6">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58152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4"/>
  <sheetViews>
    <sheetView tabSelected="1" zoomScale="70" zoomScaleNormal="70" zoomScalePageLayoutView="0" workbookViewId="0" topLeftCell="A1">
      <selection activeCell="H87" sqref="H87"/>
    </sheetView>
  </sheetViews>
  <sheetFormatPr defaultColWidth="11.421875" defaultRowHeight="15"/>
  <cols>
    <col min="1" max="1" width="10.28125" style="91" customWidth="1"/>
    <col min="2" max="2" width="15.00390625" style="91" customWidth="1"/>
    <col min="3" max="3" width="15.7109375" style="91" customWidth="1"/>
    <col min="4" max="4" width="23.57421875" style="91" customWidth="1"/>
    <col min="5" max="5" width="13.140625" style="91" customWidth="1"/>
    <col min="6" max="8" width="11.421875" style="91" customWidth="1"/>
    <col min="9" max="9" width="13.8515625" style="91" customWidth="1"/>
    <col min="10" max="10" width="30.00390625" style="91" customWidth="1"/>
    <col min="11" max="11" width="17.421875" style="91" customWidth="1"/>
    <col min="12" max="12" width="14.7109375" style="91" customWidth="1"/>
    <col min="13" max="13" width="12.28125" style="91" customWidth="1"/>
    <col min="14" max="15" width="11.421875" style="91" customWidth="1"/>
    <col min="16" max="16" width="10.8515625" style="91" customWidth="1"/>
    <col min="17" max="20" width="11.421875" style="91" customWidth="1"/>
    <col min="21" max="21" width="17.00390625" style="91" customWidth="1"/>
    <col min="22" max="22" width="20.00390625" style="91" customWidth="1"/>
    <col min="23" max="23" width="23.57421875" style="91" customWidth="1"/>
    <col min="24" max="24" width="27.00390625" style="91" customWidth="1"/>
    <col min="25" max="25" width="37.421875" style="91" customWidth="1"/>
    <col min="26" max="26" width="29.7109375" style="91" customWidth="1"/>
    <col min="27" max="27" width="24.421875" style="91" customWidth="1"/>
    <col min="28" max="28" width="34.00390625" style="91" customWidth="1"/>
    <col min="29" max="29" width="27.140625" style="91" customWidth="1"/>
    <col min="30" max="37" width="11.421875" style="91" customWidth="1"/>
    <col min="38" max="38" width="19.00390625" style="91" customWidth="1"/>
    <col min="39" max="39" width="14.00390625" style="91" bestFit="1" customWidth="1"/>
    <col min="40" max="40" width="23.28125" style="91" customWidth="1"/>
    <col min="41" max="41" width="16.421875" style="91" customWidth="1"/>
    <col min="42" max="42" width="24.421875" style="91" customWidth="1"/>
    <col min="43" max="16384" width="11.421875" style="91" customWidth="1"/>
  </cols>
  <sheetData>
    <row r="1" spans="1:42" ht="75.75" customHeight="1">
      <c r="A1" s="209"/>
      <c r="B1" s="210"/>
      <c r="C1" s="201" t="s">
        <v>252</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6"/>
    </row>
    <row r="2" spans="1:42" ht="15" customHeight="1">
      <c r="A2" s="211"/>
      <c r="B2" s="212"/>
      <c r="C2" s="201" t="s">
        <v>253</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7"/>
    </row>
    <row r="3" spans="1:42" ht="15" customHeight="1">
      <c r="A3" s="213"/>
      <c r="B3" s="214"/>
      <c r="C3" s="201" t="s">
        <v>256</v>
      </c>
      <c r="D3" s="202"/>
      <c r="E3" s="202"/>
      <c r="F3" s="202"/>
      <c r="G3" s="202"/>
      <c r="H3" s="202"/>
      <c r="I3" s="202"/>
      <c r="J3" s="202"/>
      <c r="K3" s="202"/>
      <c r="L3" s="202" t="s">
        <v>254</v>
      </c>
      <c r="M3" s="202"/>
      <c r="N3" s="202"/>
      <c r="O3" s="202"/>
      <c r="P3" s="202"/>
      <c r="Q3" s="202"/>
      <c r="R3" s="202"/>
      <c r="S3" s="202"/>
      <c r="T3" s="202"/>
      <c r="U3" s="202"/>
      <c r="V3" s="202"/>
      <c r="W3" s="202"/>
      <c r="X3" s="202"/>
      <c r="Y3" s="202"/>
      <c r="Z3" s="202"/>
      <c r="AA3" s="202"/>
      <c r="AB3" s="202"/>
      <c r="AC3" s="202"/>
      <c r="AD3" s="202"/>
      <c r="AE3" s="202"/>
      <c r="AF3" s="223"/>
      <c r="AG3" s="201" t="s">
        <v>255</v>
      </c>
      <c r="AH3" s="202"/>
      <c r="AI3" s="202"/>
      <c r="AJ3" s="202"/>
      <c r="AK3" s="202"/>
      <c r="AL3" s="223"/>
      <c r="AM3" s="201">
        <v>4</v>
      </c>
      <c r="AN3" s="202"/>
      <c r="AO3" s="202"/>
      <c r="AP3" s="208"/>
    </row>
    <row r="4" spans="1:42" ht="15" customHeight="1">
      <c r="A4" s="203" t="s">
        <v>251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5"/>
    </row>
    <row r="6" ht="15.75" thickBot="1">
      <c r="A6" s="91" t="s">
        <v>986</v>
      </c>
    </row>
    <row r="7" spans="1:42" ht="16.5" customHeight="1" thickBot="1">
      <c r="A7" s="179" t="s">
        <v>210</v>
      </c>
      <c r="B7" s="180"/>
      <c r="C7" s="180"/>
      <c r="D7" s="180"/>
      <c r="E7" s="180"/>
      <c r="F7" s="180"/>
      <c r="G7" s="180"/>
      <c r="H7" s="180"/>
      <c r="I7" s="180"/>
      <c r="J7" s="180"/>
      <c r="K7" s="180"/>
      <c r="L7" s="180"/>
      <c r="M7" s="181"/>
      <c r="N7" s="175" t="s">
        <v>211</v>
      </c>
      <c r="O7" s="176"/>
      <c r="P7" s="176"/>
      <c r="Q7" s="176"/>
      <c r="R7" s="176"/>
      <c r="S7" s="177"/>
      <c r="T7" s="179" t="s">
        <v>224</v>
      </c>
      <c r="U7" s="180"/>
      <c r="V7" s="180"/>
      <c r="W7" s="180"/>
      <c r="X7" s="180"/>
      <c r="Y7" s="180"/>
      <c r="Z7" s="180"/>
      <c r="AA7" s="180"/>
      <c r="AB7" s="180"/>
      <c r="AC7" s="180"/>
      <c r="AD7" s="180"/>
      <c r="AE7" s="180"/>
      <c r="AF7" s="180"/>
      <c r="AG7" s="181"/>
      <c r="AH7" s="182" t="s">
        <v>225</v>
      </c>
      <c r="AI7" s="176"/>
      <c r="AJ7" s="176"/>
      <c r="AK7" s="176"/>
      <c r="AL7" s="176"/>
      <c r="AM7" s="177"/>
      <c r="AN7" s="175" t="s">
        <v>212</v>
      </c>
      <c r="AO7" s="176"/>
      <c r="AP7" s="177"/>
    </row>
    <row r="8" spans="1:42" ht="16.5" customHeight="1">
      <c r="A8" s="162" t="s">
        <v>131</v>
      </c>
      <c r="B8" s="154" t="s">
        <v>227</v>
      </c>
      <c r="C8" s="154" t="s">
        <v>228</v>
      </c>
      <c r="D8" s="164" t="s">
        <v>132</v>
      </c>
      <c r="E8" s="154" t="s">
        <v>229</v>
      </c>
      <c r="F8" s="154" t="s">
        <v>133</v>
      </c>
      <c r="G8" s="154" t="s">
        <v>134</v>
      </c>
      <c r="H8" s="156" t="s">
        <v>243</v>
      </c>
      <c r="I8" s="173"/>
      <c r="J8" s="154" t="s">
        <v>244</v>
      </c>
      <c r="K8" s="169" t="s">
        <v>245</v>
      </c>
      <c r="L8" s="156" t="s">
        <v>246</v>
      </c>
      <c r="M8" s="166" t="s">
        <v>277</v>
      </c>
      <c r="N8" s="171" t="s">
        <v>141</v>
      </c>
      <c r="O8" s="158" t="s">
        <v>142</v>
      </c>
      <c r="P8" s="158" t="s">
        <v>143</v>
      </c>
      <c r="Q8" s="158" t="s">
        <v>207</v>
      </c>
      <c r="R8" s="158" t="s">
        <v>209</v>
      </c>
      <c r="S8" s="183" t="s">
        <v>194</v>
      </c>
      <c r="T8" s="162" t="s">
        <v>135</v>
      </c>
      <c r="U8" s="99"/>
      <c r="V8" s="154" t="s">
        <v>181</v>
      </c>
      <c r="W8" s="154"/>
      <c r="X8" s="154"/>
      <c r="Y8" s="154"/>
      <c r="Z8" s="154"/>
      <c r="AA8" s="154"/>
      <c r="AB8" s="154"/>
      <c r="AC8" s="154" t="s">
        <v>236</v>
      </c>
      <c r="AD8" s="164" t="s">
        <v>237</v>
      </c>
      <c r="AE8" s="154" t="s">
        <v>3</v>
      </c>
      <c r="AF8" s="154"/>
      <c r="AG8" s="166"/>
      <c r="AH8" s="167" t="s">
        <v>136</v>
      </c>
      <c r="AI8" s="158" t="s">
        <v>137</v>
      </c>
      <c r="AJ8" s="158" t="s">
        <v>138</v>
      </c>
      <c r="AK8" s="158" t="s">
        <v>269</v>
      </c>
      <c r="AL8" s="158" t="s">
        <v>139</v>
      </c>
      <c r="AM8" s="160" t="s">
        <v>226</v>
      </c>
      <c r="AN8" s="171" t="s">
        <v>140</v>
      </c>
      <c r="AO8" s="154" t="s">
        <v>199</v>
      </c>
      <c r="AP8" s="166" t="s">
        <v>276</v>
      </c>
    </row>
    <row r="9" spans="1:42" ht="84" customHeight="1" thickBot="1">
      <c r="A9" s="163"/>
      <c r="B9" s="155"/>
      <c r="C9" s="155"/>
      <c r="D9" s="165"/>
      <c r="E9" s="155"/>
      <c r="F9" s="155"/>
      <c r="G9" s="155"/>
      <c r="H9" s="100" t="s">
        <v>242</v>
      </c>
      <c r="I9" s="100" t="s">
        <v>241</v>
      </c>
      <c r="J9" s="155"/>
      <c r="K9" s="170"/>
      <c r="L9" s="157"/>
      <c r="M9" s="174"/>
      <c r="N9" s="172"/>
      <c r="O9" s="159"/>
      <c r="P9" s="159"/>
      <c r="Q9" s="159"/>
      <c r="R9" s="159"/>
      <c r="S9" s="184"/>
      <c r="T9" s="163"/>
      <c r="U9" s="111" t="s">
        <v>208</v>
      </c>
      <c r="V9" s="111" t="s">
        <v>206</v>
      </c>
      <c r="W9" s="111" t="s">
        <v>200</v>
      </c>
      <c r="X9" s="111" t="s">
        <v>205</v>
      </c>
      <c r="Y9" s="111" t="s">
        <v>203</v>
      </c>
      <c r="Z9" s="100" t="s">
        <v>204</v>
      </c>
      <c r="AA9" s="111" t="s">
        <v>201</v>
      </c>
      <c r="AB9" s="100" t="s">
        <v>202</v>
      </c>
      <c r="AC9" s="155"/>
      <c r="AD9" s="165"/>
      <c r="AE9" s="101" t="s">
        <v>238</v>
      </c>
      <c r="AF9" s="101" t="s">
        <v>239</v>
      </c>
      <c r="AG9" s="102" t="s">
        <v>240</v>
      </c>
      <c r="AH9" s="168"/>
      <c r="AI9" s="159"/>
      <c r="AJ9" s="159"/>
      <c r="AK9" s="159"/>
      <c r="AL9" s="159"/>
      <c r="AM9" s="161"/>
      <c r="AN9" s="172"/>
      <c r="AO9" s="155"/>
      <c r="AP9" s="178"/>
    </row>
    <row r="10" spans="1:42" ht="120.75" thickBot="1">
      <c r="A10" s="146">
        <v>1</v>
      </c>
      <c r="B10" s="84" t="s">
        <v>31</v>
      </c>
      <c r="C10" s="84" t="s">
        <v>250</v>
      </c>
      <c r="D10" s="90" t="str">
        <f>_xlfn.IFERROR(VLOOKUP(B10,datos!$B$1:$C$21,2,0),"")</f>
        <v>Administrar los bienes de propiedad, planta y equipo de la entidad y la prestación de los servicios administrativos en todos los procesos y sedes en custodia, con el fin de satisfacer las necesidades para el funcionamiento de la entidad durante la vigencia.</v>
      </c>
      <c r="E10" s="84" t="s">
        <v>55</v>
      </c>
      <c r="F10" s="84" t="s">
        <v>278</v>
      </c>
      <c r="G10" s="84" t="s">
        <v>279</v>
      </c>
      <c r="H10" s="84" t="s">
        <v>233</v>
      </c>
      <c r="I10" s="84" t="s">
        <v>280</v>
      </c>
      <c r="J10" s="84" t="s">
        <v>281</v>
      </c>
      <c r="K10" s="139" t="s">
        <v>186</v>
      </c>
      <c r="L10" s="133" t="s">
        <v>197</v>
      </c>
      <c r="M10" s="143"/>
      <c r="N10" s="142">
        <v>5000</v>
      </c>
      <c r="O10" s="105" t="str">
        <f>_xlfn.IFERROR(VLOOKUP(P10,datos!$AC$2:$AE$7,3,0),"")</f>
        <v>Alta</v>
      </c>
      <c r="P10" s="144">
        <f>+IF(OR(N10="",N10=0),"",IF(N10&lt;=datos!$AD$3,datos!$AC$3,IF(AND(N10&gt;datos!$AD$3,N10&lt;=datos!$AD$4),datos!$AC$4,IF(AND(N10&gt;datos!$AD$4,N10&lt;=datos!$AD$5),datos!$AC$5,IF(AND(N10&gt;datos!$AD$5,N10&lt;=datos!$AD$6),datos!$AC$6,IF(N10&gt;datos!$AD$7,datos!$AC$7,0))))))</f>
        <v>0.8</v>
      </c>
      <c r="Q10" s="145" t="str">
        <f>+HLOOKUP(A10,'Impacto Riesgo de Corrupción'!$D$8:$AY$29,22,0)</f>
        <v>Mayor</v>
      </c>
      <c r="R10" s="144">
        <f>+IF(Q10="","",VLOOKUP(Q10,datos!$AC$12:$AD$15,2,0))</f>
        <v>0.8</v>
      </c>
      <c r="S10" s="134" t="str">
        <f ca="1">_xlfn.IFERROR(INDIRECT("datos!"&amp;HLOOKUP(Q10,calculo_imp,2,FALSE)&amp;VLOOKUP(O10,calculo_prob,2,FALSE)),"")</f>
        <v>Alto</v>
      </c>
      <c r="T10" s="92">
        <v>1</v>
      </c>
      <c r="U10" s="84" t="s">
        <v>282</v>
      </c>
      <c r="V10" s="83" t="s">
        <v>283</v>
      </c>
      <c r="W10" s="83" t="s">
        <v>284</v>
      </c>
      <c r="X10" s="83" t="s">
        <v>285</v>
      </c>
      <c r="Y10" s="83" t="s">
        <v>286</v>
      </c>
      <c r="Z10" s="83" t="s">
        <v>287</v>
      </c>
      <c r="AA10" s="83" t="s">
        <v>288</v>
      </c>
      <c r="AB10" s="83" t="s">
        <v>289</v>
      </c>
      <c r="AC10" s="83" t="s">
        <v>290</v>
      </c>
      <c r="AD10" s="90" t="str">
        <f>IF(AE10="","",VLOOKUP(AE10,datos!$AT$6:$AU$9,2,0))</f>
        <v>Probabilidad</v>
      </c>
      <c r="AE10" s="84" t="s">
        <v>80</v>
      </c>
      <c r="AF10" s="84" t="s">
        <v>84</v>
      </c>
      <c r="AG10" s="85">
        <f>IF(AND(AE10="",AF10=""),"",IF(AE10="",0,VLOOKUP(AE10,datos!$AP$3:$AR$7,3,0))+IF(AF10="",0,VLOOKUP(AF10,datos!$AP$3:$AR$7,3,0)))</f>
        <v>0.4</v>
      </c>
      <c r="AH10" s="103" t="str">
        <f>IF(OR(AI10="",AI10=0),"",IF(AI10&lt;=datos!$AC$3,datos!$AE$3,IF(AI10&lt;=datos!$AC$4,datos!$AE$4,IF(AI10&lt;=datos!$AC$5,datos!$AE$5,IF(AI10&lt;=datos!$AC$6,datos!$AE$6,IF(AI10&lt;=datos!$AC$7,datos!$AE$7,""))))))</f>
        <v>Media</v>
      </c>
      <c r="AI10" s="104">
        <f>IF(AD10="","",IF(T10=1,IF(AD10="Probabilidad",P10-(P10*AG10),P10),IF(AD10="Probabilidad",AI9-(AI9*AG10),AI9)))</f>
        <v>0.48</v>
      </c>
      <c r="AJ10" s="105" t="str">
        <f>+IF(AK10&lt;=datos!$AD$11,datos!$AC$11,IF(AK10&lt;=datos!$AD$12,datos!$AC$12,IF(AK10&lt;=datos!$AD$13,datos!$AC$13,IF(AK10&lt;=datos!$AD$14,datos!$AC$14,IF(AK10&lt;=datos!$AD$15,datos!$AC$15,"")))))</f>
        <v>Mayor</v>
      </c>
      <c r="AK10" s="104">
        <f>IF(AD10="","",IF(T10=1,IF(AD10="Impacto",R10-(R10*AG10),R10),IF(AD10="Impacto",AK9-(AK9*AG10),AK9)))</f>
        <v>0.8</v>
      </c>
      <c r="AL10" s="105" t="str">
        <f ca="1">_xlfn.IFERROR(INDIRECT("datos!"&amp;HLOOKUP(AJ10,calculo_imp,2,FALSE)&amp;VLOOKUP(AH10,calculo_prob,2,FALSE)),"")</f>
        <v>Alto</v>
      </c>
      <c r="AM10" s="147" t="s">
        <v>92</v>
      </c>
      <c r="AN10" s="137" t="s">
        <v>291</v>
      </c>
      <c r="AO10" s="138">
        <v>44958</v>
      </c>
      <c r="AP10" s="135" t="s">
        <v>292</v>
      </c>
    </row>
    <row r="11" spans="1:42" ht="156.75" thickBot="1">
      <c r="A11" s="146">
        <v>2</v>
      </c>
      <c r="B11" s="84" t="s">
        <v>25</v>
      </c>
      <c r="C11" s="84" t="s">
        <v>250</v>
      </c>
      <c r="D11" s="90" t="str">
        <f>_xlfn.IFERROR(VLOOKUP(B11,datos!$B$1:$C$21,2,0),"")</f>
        <v>Ejercer la función disciplinaria en primera instancia en la SDS, mediante el seguimiento y gestión eficiente de los procesos disciplinarios hacia los servidores públicos de acuerdo a los principios rectores de la ley disciplinaria.</v>
      </c>
      <c r="E11" s="84" t="s">
        <v>54</v>
      </c>
      <c r="F11" s="84" t="s">
        <v>293</v>
      </c>
      <c r="G11" s="84" t="s">
        <v>294</v>
      </c>
      <c r="H11" s="84" t="s">
        <v>233</v>
      </c>
      <c r="I11" s="84" t="s">
        <v>295</v>
      </c>
      <c r="J11" s="84" t="s">
        <v>296</v>
      </c>
      <c r="K11" s="139" t="s">
        <v>184</v>
      </c>
      <c r="L11" s="133" t="s">
        <v>197</v>
      </c>
      <c r="M11" s="143" t="s">
        <v>12</v>
      </c>
      <c r="N11" s="142">
        <v>240</v>
      </c>
      <c r="O11" s="105" t="str">
        <f>_xlfn.IFERROR(VLOOKUP(P11,datos!$AC$2:$AE$7,3,0),"")</f>
        <v>Media</v>
      </c>
      <c r="P11" s="144">
        <f>+IF(OR(N11="",N11=0),"",IF(N11&lt;=datos!$AD$3,datos!$AC$3,IF(AND(N11&gt;datos!$AD$3,N11&lt;=datos!$AD$4),datos!$AC$4,IF(AND(N11&gt;datos!$AD$4,N11&lt;=datos!$AD$5),datos!$AC$5,IF(AND(N11&gt;datos!$AD$5,N11&lt;=datos!$AD$6),datos!$AC$6,IF(N11&gt;datos!$AD$7,datos!$AC$7,0))))))</f>
        <v>0.6</v>
      </c>
      <c r="Q11" s="145" t="str">
        <f>+HLOOKUP(A11,'Impacto Riesgo de Corrupción'!$D$8:$AY$29,22,0)</f>
        <v>Mayor</v>
      </c>
      <c r="R11" s="144">
        <f>+IF(Q11="","",VLOOKUP(Q11,datos!$AC$12:$AD$15,2,0))</f>
        <v>0.8</v>
      </c>
      <c r="S11" s="134" t="str">
        <f ca="1">_xlfn.IFERROR(INDIRECT("datos!"&amp;HLOOKUP(Q11,calculo_imp,2,FALSE)&amp;VLOOKUP(O11,calculo_prob,2,FALSE)),"")</f>
        <v>Alto</v>
      </c>
      <c r="T11" s="92">
        <v>1</v>
      </c>
      <c r="U11" s="84" t="s">
        <v>300</v>
      </c>
      <c r="V11" s="83" t="s">
        <v>301</v>
      </c>
      <c r="W11" s="83" t="s">
        <v>302</v>
      </c>
      <c r="X11" s="83" t="s">
        <v>303</v>
      </c>
      <c r="Y11" s="83" t="s">
        <v>304</v>
      </c>
      <c r="Z11" s="83" t="s">
        <v>305</v>
      </c>
      <c r="AA11" s="83" t="s">
        <v>306</v>
      </c>
      <c r="AB11" s="83" t="s">
        <v>307</v>
      </c>
      <c r="AC11" s="83" t="s">
        <v>308</v>
      </c>
      <c r="AD11" s="90" t="str">
        <f>IF(AE11="","",VLOOKUP(AE11,datos!$AT$6:$AU$9,2,0))</f>
        <v>Probabilidad</v>
      </c>
      <c r="AE11" s="84" t="s">
        <v>80</v>
      </c>
      <c r="AF11" s="84" t="s">
        <v>84</v>
      </c>
      <c r="AG11" s="85">
        <f>IF(AND(AE11="",AF11=""),"",IF(AE11="",0,VLOOKUP(AE11,datos!$AP$3:$AR$7,3,0))+IF(AF11="",0,VLOOKUP(AF11,datos!$AP$3:$AR$7,3,0)))</f>
        <v>0.4</v>
      </c>
      <c r="AH11" s="103" t="str">
        <f>IF(OR(AI11="",AI11=0),"",IF(AI11&lt;=datos!$AC$3,datos!$AE$3,IF(AI11&lt;=datos!$AC$4,datos!$AE$4,IF(AI11&lt;=datos!$AC$5,datos!$AE$5,IF(AI11&lt;=datos!$AC$6,datos!$AE$6,IF(AI11&lt;=datos!$AC$7,datos!$AE$7,""))))))</f>
        <v>Baja</v>
      </c>
      <c r="AI11" s="104">
        <f>IF(AD11="","",IF(T11=1,IF(AD11="Probabilidad",P11-(P11*AG11),P11),IF(AD11="Probabilidad",#REF!-(#REF!*AG11),#REF!)))</f>
        <v>0.36</v>
      </c>
      <c r="AJ11" s="105" t="str">
        <f>+IF(AK11&lt;=datos!$AD$11,datos!$AC$11,IF(AK11&lt;=datos!$AD$12,datos!$AC$12,IF(AK11&lt;=datos!$AD$13,datos!$AC$13,IF(AK11&lt;=datos!$AD$14,datos!$AC$14,IF(AK11&lt;=datos!$AD$15,datos!$AC$15,"")))))</f>
        <v>Mayor</v>
      </c>
      <c r="AK11" s="104">
        <f>IF(AD11="","",IF(T11=1,IF(AD11="Impacto",R11-(R11*AG11),R11),IF(AD11="Impacto",#REF!-(#REF!*AG11),#REF!)))</f>
        <v>0.8</v>
      </c>
      <c r="AL11" s="105" t="str">
        <f ca="1">_xlfn.IFERROR(INDIRECT("datos!"&amp;HLOOKUP(AJ11,calculo_imp,2,FALSE)&amp;VLOOKUP(AH11,calculo_prob,2,FALSE)),"")</f>
        <v>Alto</v>
      </c>
      <c r="AM11" s="147" t="s">
        <v>92</v>
      </c>
      <c r="AN11" s="137" t="s">
        <v>309</v>
      </c>
      <c r="AO11" s="138">
        <v>44805</v>
      </c>
      <c r="AP11" s="135" t="s">
        <v>310</v>
      </c>
    </row>
    <row r="12" spans="1:42" ht="120">
      <c r="A12" s="219">
        <v>3</v>
      </c>
      <c r="B12" s="187" t="s">
        <v>25</v>
      </c>
      <c r="C12" s="187" t="s">
        <v>250</v>
      </c>
      <c r="D12" s="185" t="str">
        <f>_xlfn.IFERROR(VLOOKUP(B12,datos!$B$1:$C$21,2,0),"")</f>
        <v>Ejercer la función disciplinaria en primera instancia en la SDS, mediante el seguimiento y gestión eficiente de los procesos disciplinarios hacia los servidores públicos de acuerdo a los principios rectores de la ley disciplinaria.</v>
      </c>
      <c r="E12" s="187" t="s">
        <v>54</v>
      </c>
      <c r="F12" s="187" t="s">
        <v>297</v>
      </c>
      <c r="G12" s="187" t="s">
        <v>298</v>
      </c>
      <c r="H12" s="187" t="s">
        <v>233</v>
      </c>
      <c r="I12" s="187" t="s">
        <v>295</v>
      </c>
      <c r="J12" s="187" t="s">
        <v>299</v>
      </c>
      <c r="K12" s="189" t="s">
        <v>184</v>
      </c>
      <c r="L12" s="191" t="s">
        <v>197</v>
      </c>
      <c r="M12" s="195" t="s">
        <v>12</v>
      </c>
      <c r="N12" s="193">
        <v>240</v>
      </c>
      <c r="O12" s="221" t="str">
        <f>_xlfn.IFERROR(VLOOKUP(P12,datos!$AC$2:$AE$7,3,0),"")</f>
        <v>Media</v>
      </c>
      <c r="P12" s="217">
        <f>+IF(OR(N12="",N12=0),"",IF(N12&lt;=datos!$AD$3,datos!$AC$3,IF(AND(N12&gt;datos!$AD$3,N12&lt;=datos!$AD$4),datos!$AC$4,IF(AND(N12&gt;datos!$AD$4,N12&lt;=datos!$AD$5),datos!$AC$5,IF(AND(N12&gt;datos!$AD$5,N12&lt;=datos!$AD$6),datos!$AC$6,IF(N12&gt;datos!$AD$7,datos!$AC$7,0))))))</f>
        <v>0.6</v>
      </c>
      <c r="Q12" s="215" t="str">
        <f>+HLOOKUP(A12,'Impacto Riesgo de Corrupción'!$D$8:$AY$29,22,0)</f>
        <v>Mayor</v>
      </c>
      <c r="R12" s="217">
        <f>+IF(Q12="","",VLOOKUP(Q12,datos!$AC$12:$AD$15,2,0))</f>
        <v>0.8</v>
      </c>
      <c r="S12" s="197" t="str">
        <f ca="1">_xlfn.IFERROR(INDIRECT("datos!"&amp;HLOOKUP(Q12,calculo_imp,2,FALSE)&amp;VLOOKUP(O12,calculo_prob,2,FALSE)),"")</f>
        <v>Alto</v>
      </c>
      <c r="T12" s="92">
        <v>1</v>
      </c>
      <c r="U12" s="84" t="s">
        <v>311</v>
      </c>
      <c r="V12" s="83" t="s">
        <v>312</v>
      </c>
      <c r="W12" s="83" t="s">
        <v>313</v>
      </c>
      <c r="X12" s="83" t="s">
        <v>314</v>
      </c>
      <c r="Y12" s="83" t="s">
        <v>315</v>
      </c>
      <c r="Z12" s="83" t="s">
        <v>316</v>
      </c>
      <c r="AA12" s="83" t="s">
        <v>306</v>
      </c>
      <c r="AB12" s="83" t="s">
        <v>317</v>
      </c>
      <c r="AC12" s="83" t="s">
        <v>318</v>
      </c>
      <c r="AD12" s="90" t="str">
        <f>IF(AE12="","",VLOOKUP(AE12,datos!$AT$6:$AU$9,2,0))</f>
        <v>Probabilidad</v>
      </c>
      <c r="AE12" s="84" t="s">
        <v>80</v>
      </c>
      <c r="AF12" s="84" t="s">
        <v>84</v>
      </c>
      <c r="AG12" s="85">
        <f>IF(AND(AE12="",AF12=""),"",IF(AE12="",0,VLOOKUP(AE12,datos!$AP$3:$AR$7,3,0))+IF(AF12="",0,VLOOKUP(AF12,datos!$AP$3:$AR$7,3,0)))</f>
        <v>0.4</v>
      </c>
      <c r="AH12" s="103" t="str">
        <f>IF(OR(AI12="",AI12=0),"",IF(AI12&lt;=datos!$AC$3,datos!$AE$3,IF(AI12&lt;=datos!$AC$4,datos!$AE$4,IF(AI12&lt;=datos!$AC$5,datos!$AE$5,IF(AI12&lt;=datos!$AC$6,datos!$AE$6,IF(AI12&lt;=datos!$AC$7,datos!$AE$7,""))))))</f>
        <v>Baja</v>
      </c>
      <c r="AI12" s="104">
        <f>IF(AD12="","",IF(T12=1,IF(AD12="Probabilidad",P12-(P12*AG12),P12),IF(AD12="Probabilidad",#REF!-(#REF!*AG12),#REF!)))</f>
        <v>0.36</v>
      </c>
      <c r="AJ12" s="105" t="str">
        <f>+IF(AK12&lt;=datos!$AD$11,datos!$AC$11,IF(AK12&lt;=datos!$AD$12,datos!$AC$12,IF(AK12&lt;=datos!$AD$13,datos!$AC$13,IF(AK12&lt;=datos!$AD$14,datos!$AC$14,IF(AK12&lt;=datos!$AD$15,datos!$AC$15,"")))))</f>
        <v>Mayor</v>
      </c>
      <c r="AK12" s="104">
        <f>IF(AD12="","",IF(T12=1,IF(AD12="Impacto",R12-(R12*AG12),R12),IF(AD12="Impacto",#REF!-(#REF!*AG12),#REF!)))</f>
        <v>0.8</v>
      </c>
      <c r="AL12" s="105" t="str">
        <f aca="true" ca="1" t="shared" si="0" ref="AL12:AL19">_xlfn.IFERROR(INDIRECT("datos!"&amp;HLOOKUP(AJ12,calculo_imp,2,FALSE)&amp;VLOOKUP(AH12,calculo_prob,2,FALSE)),"")</f>
        <v>Alto</v>
      </c>
      <c r="AM12" s="224" t="s">
        <v>92</v>
      </c>
      <c r="AN12" s="226" t="s">
        <v>332</v>
      </c>
      <c r="AO12" s="228">
        <v>44957</v>
      </c>
      <c r="AP12" s="199" t="s">
        <v>310</v>
      </c>
    </row>
    <row r="13" spans="1:42" ht="120">
      <c r="A13" s="220"/>
      <c r="B13" s="188"/>
      <c r="C13" s="188"/>
      <c r="D13" s="186"/>
      <c r="E13" s="188"/>
      <c r="F13" s="188"/>
      <c r="G13" s="188"/>
      <c r="H13" s="188"/>
      <c r="I13" s="188"/>
      <c r="J13" s="188"/>
      <c r="K13" s="190"/>
      <c r="L13" s="192"/>
      <c r="M13" s="196"/>
      <c r="N13" s="194"/>
      <c r="O13" s="222"/>
      <c r="P13" s="218"/>
      <c r="Q13" s="216"/>
      <c r="R13" s="218" t="e">
        <f>IF(OR(#REF!=datos!$AB$10,#REF!=datos!$AB$16),"",VLOOKUP(#REF!,datos!$AA$10:$AC$21,3,0))</f>
        <v>#REF!</v>
      </c>
      <c r="S13" s="198"/>
      <c r="T13" s="93">
        <v>2</v>
      </c>
      <c r="U13" s="80" t="s">
        <v>319</v>
      </c>
      <c r="V13" s="79" t="s">
        <v>312</v>
      </c>
      <c r="W13" s="79" t="s">
        <v>320</v>
      </c>
      <c r="X13" s="79" t="s">
        <v>321</v>
      </c>
      <c r="Y13" s="79" t="s">
        <v>322</v>
      </c>
      <c r="Z13" s="79" t="s">
        <v>316</v>
      </c>
      <c r="AA13" s="79" t="s">
        <v>306</v>
      </c>
      <c r="AB13" s="79" t="s">
        <v>323</v>
      </c>
      <c r="AC13" s="79" t="s">
        <v>324</v>
      </c>
      <c r="AD13" s="89" t="str">
        <f>IF(AE13="","",VLOOKUP(AE13,datos!$AT$6:$AU$9,2,0))</f>
        <v>Probabilidad</v>
      </c>
      <c r="AE13" s="80" t="s">
        <v>80</v>
      </c>
      <c r="AF13" s="80" t="s">
        <v>84</v>
      </c>
      <c r="AG13" s="86">
        <f>IF(AND(AE13="",AF13=""),"",IF(AE13="",0,VLOOKUP(AE13,datos!$AP$3:$AR$7,3,0))+IF(AF13="",0,VLOOKUP(AF13,datos!$AP$3:$AR$7,3,0)))</f>
        <v>0.4</v>
      </c>
      <c r="AH13" s="106" t="str">
        <f>IF(OR(AI13="",AI13=0),"",IF(AI13&lt;=datos!$AC$3,datos!$AE$3,IF(AI13&lt;=datos!$AC$4,datos!$AE$4,IF(AI13&lt;=datos!$AC$5,datos!$AE$5,IF(AI13&lt;=datos!$AC$6,datos!$AE$6,IF(AI13&lt;=datos!$AC$7,datos!$AE$7,""))))))</f>
        <v>Baja</v>
      </c>
      <c r="AI13" s="107">
        <f aca="true" t="shared" si="1" ref="AI13:AI19">IF(AD13="","",IF(T13=1,IF(AD13="Probabilidad",P13-(P13*AG13),P13),IF(AD13="Probabilidad",AI12-(AI12*AG13),AI12)))</f>
        <v>0.216</v>
      </c>
      <c r="AJ13" s="108" t="str">
        <f>+IF(AK13&lt;=datos!$AD$11,datos!$AC$11,IF(AK13&lt;=datos!$AD$12,datos!$AC$12,IF(AK13&lt;=datos!$AD$13,datos!$AC$13,IF(AK13&lt;=datos!$AD$14,datos!$AC$14,IF(AK13&lt;=datos!$AD$15,datos!$AC$15,"")))))</f>
        <v>Mayor</v>
      </c>
      <c r="AK13" s="107">
        <f aca="true" t="shared" si="2" ref="AK13:AK19">IF(AD13="","",IF(T13=1,IF(AD13="Impacto",R13-(R13*AG13),R13),IF(AD13="Impacto",AK12-(AK12*AG13),AK12)))</f>
        <v>0.8</v>
      </c>
      <c r="AL13" s="108" t="str">
        <f ca="1" t="shared" si="0"/>
        <v>Alto</v>
      </c>
      <c r="AM13" s="225"/>
      <c r="AN13" s="227"/>
      <c r="AO13" s="229"/>
      <c r="AP13" s="200"/>
    </row>
    <row r="14" spans="1:42" ht="120.75" thickBot="1">
      <c r="A14" s="220"/>
      <c r="B14" s="188"/>
      <c r="C14" s="188"/>
      <c r="D14" s="186"/>
      <c r="E14" s="188"/>
      <c r="F14" s="188"/>
      <c r="G14" s="188"/>
      <c r="H14" s="188"/>
      <c r="I14" s="188"/>
      <c r="J14" s="188"/>
      <c r="K14" s="190"/>
      <c r="L14" s="192"/>
      <c r="M14" s="196"/>
      <c r="N14" s="194"/>
      <c r="O14" s="222"/>
      <c r="P14" s="218"/>
      <c r="Q14" s="216"/>
      <c r="R14" s="218" t="e">
        <f>IF(OR(#REF!=datos!$AB$10,#REF!=datos!$AB$16),"",VLOOKUP(#REF!,datos!$AA$10:$AC$21,3,0))</f>
        <v>#REF!</v>
      </c>
      <c r="S14" s="198"/>
      <c r="T14" s="93">
        <v>3</v>
      </c>
      <c r="U14" s="80" t="s">
        <v>325</v>
      </c>
      <c r="V14" s="79" t="s">
        <v>312</v>
      </c>
      <c r="W14" s="79" t="s">
        <v>326</v>
      </c>
      <c r="X14" s="79" t="s">
        <v>327</v>
      </c>
      <c r="Y14" s="79" t="s">
        <v>328</v>
      </c>
      <c r="Z14" s="79" t="s">
        <v>329</v>
      </c>
      <c r="AA14" s="79" t="s">
        <v>306</v>
      </c>
      <c r="AB14" s="79" t="s">
        <v>330</v>
      </c>
      <c r="AC14" s="79" t="s">
        <v>331</v>
      </c>
      <c r="AD14" s="89" t="str">
        <f>IF(AE14="","",VLOOKUP(AE14,datos!$AT$6:$AU$9,2,0))</f>
        <v>Probabilidad</v>
      </c>
      <c r="AE14" s="80" t="s">
        <v>80</v>
      </c>
      <c r="AF14" s="80" t="s">
        <v>84</v>
      </c>
      <c r="AG14" s="86">
        <f>IF(AND(AE14="",AF14=""),"",IF(AE14="",0,VLOOKUP(AE14,datos!$AP$3:$AR$7,3,0))+IF(AF14="",0,VLOOKUP(AF14,datos!$AP$3:$AR$7,3,0)))</f>
        <v>0.4</v>
      </c>
      <c r="AH14" s="106" t="str">
        <f>IF(OR(AI14="",AI14=0),"",IF(AI14&lt;=datos!$AC$3,datos!$AE$3,IF(AI14&lt;=datos!$AC$4,datos!$AE$4,IF(AI14&lt;=datos!$AC$5,datos!$AE$5,IF(AI14&lt;=datos!$AC$6,datos!$AE$6,IF(AI14&lt;=datos!$AC$7,datos!$AE$7,""))))))</f>
        <v>Muy Baja</v>
      </c>
      <c r="AI14" s="107">
        <f t="shared" si="1"/>
        <v>0.1296</v>
      </c>
      <c r="AJ14" s="108" t="str">
        <f>+IF(AK14&lt;=datos!$AD$11,datos!$AC$11,IF(AK14&lt;=datos!$AD$12,datos!$AC$12,IF(AK14&lt;=datos!$AD$13,datos!$AC$13,IF(AK14&lt;=datos!$AD$14,datos!$AC$14,IF(AK14&lt;=datos!$AD$15,datos!$AC$15,"")))))</f>
        <v>Mayor</v>
      </c>
      <c r="AK14" s="107">
        <f t="shared" si="2"/>
        <v>0.8</v>
      </c>
      <c r="AL14" s="108" t="str">
        <f ca="1" t="shared" si="0"/>
        <v>Alto</v>
      </c>
      <c r="AM14" s="225"/>
      <c r="AN14" s="227"/>
      <c r="AO14" s="229"/>
      <c r="AP14" s="200"/>
    </row>
    <row r="15" spans="1:42" ht="264.75" thickBot="1">
      <c r="A15" s="146">
        <v>4</v>
      </c>
      <c r="B15" s="84" t="s">
        <v>32</v>
      </c>
      <c r="C15" s="84" t="s">
        <v>250</v>
      </c>
      <c r="D15" s="90" t="str">
        <f>_xlfn.IFERROR(VLOOKUP(B15,datos!$B$1:$C$21,2,0),"")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5" s="84" t="s">
        <v>54</v>
      </c>
      <c r="F15" s="84" t="s">
        <v>333</v>
      </c>
      <c r="G15" s="84" t="s">
        <v>334</v>
      </c>
      <c r="H15" s="84" t="s">
        <v>233</v>
      </c>
      <c r="I15" s="84"/>
      <c r="J15" s="84" t="s">
        <v>335</v>
      </c>
      <c r="K15" s="139" t="s">
        <v>184</v>
      </c>
      <c r="L15" s="133" t="s">
        <v>59</v>
      </c>
      <c r="M15" s="143" t="s">
        <v>275</v>
      </c>
      <c r="N15" s="142">
        <v>2395</v>
      </c>
      <c r="O15" s="105" t="str">
        <f>_xlfn.IFERROR(VLOOKUP(P15,datos!$AC$2:$AE$7,3,0),"")</f>
        <v>Alta</v>
      </c>
      <c r="P15" s="144">
        <f>+IF(OR(N15="",N15=0),"",IF(N15&lt;=datos!$AD$3,datos!$AC$3,IF(AND(N15&gt;datos!$AD$3,N15&lt;=datos!$AD$4),datos!$AC$4,IF(AND(N15&gt;datos!$AD$4,N15&lt;=datos!$AD$5),datos!$AC$5,IF(AND(N15&gt;datos!$AD$5,N15&lt;=datos!$AD$6),datos!$AC$6,IF(N15&gt;datos!$AD$7,datos!$AC$7,0))))))</f>
        <v>0.8</v>
      </c>
      <c r="Q15" s="145" t="str">
        <f>+HLOOKUP(A15,'Impacto Riesgo de Corrupción'!$D$8:$AY$29,22,0)</f>
        <v>Mayor</v>
      </c>
      <c r="R15" s="144">
        <f>+IF(Q15="","",VLOOKUP(Q15,datos!$AC$12:$AD$15,2,0))</f>
        <v>0.8</v>
      </c>
      <c r="S15" s="134" t="str">
        <f ca="1">_xlfn.IFERROR(INDIRECT("datos!"&amp;HLOOKUP(Q15,calculo_imp,2,FALSE)&amp;VLOOKUP(O15,calculo_prob,2,FALSE)),"")</f>
        <v>Alto</v>
      </c>
      <c r="T15" s="92">
        <v>1</v>
      </c>
      <c r="U15" s="84" t="s">
        <v>338</v>
      </c>
      <c r="V15" s="83" t="s">
        <v>339</v>
      </c>
      <c r="W15" s="83" t="s">
        <v>340</v>
      </c>
      <c r="X15" s="83" t="s">
        <v>341</v>
      </c>
      <c r="Y15" s="83" t="s">
        <v>342</v>
      </c>
      <c r="Z15" s="83" t="s">
        <v>343</v>
      </c>
      <c r="AA15" s="83" t="s">
        <v>344</v>
      </c>
      <c r="AB15" s="83" t="s">
        <v>345</v>
      </c>
      <c r="AC15" s="83" t="s">
        <v>346</v>
      </c>
      <c r="AD15" s="90" t="str">
        <f>IF(AE15="","",VLOOKUP(AE15,datos!$AT$6:$AU$9,2,0))</f>
        <v>Probabilidad</v>
      </c>
      <c r="AE15" s="84" t="s">
        <v>80</v>
      </c>
      <c r="AF15" s="84" t="s">
        <v>84</v>
      </c>
      <c r="AG15" s="85">
        <f>IF(AND(AE15="",AF15=""),"",IF(AE15="",0,VLOOKUP(AE15,datos!$AP$3:$AR$7,3,0))+IF(AF15="",0,VLOOKUP(AF15,datos!$AP$3:$AR$7,3,0)))</f>
        <v>0.4</v>
      </c>
      <c r="AH15" s="103" t="str">
        <f>IF(OR(AI15="",AI15=0),"",IF(AI15&lt;=datos!$AC$3,datos!$AE$3,IF(AI15&lt;=datos!$AC$4,datos!$AE$4,IF(AI15&lt;=datos!$AC$5,datos!$AE$5,IF(AI15&lt;=datos!$AC$6,datos!$AE$6,IF(AI15&lt;=datos!$AC$7,datos!$AE$7,""))))))</f>
        <v>Media</v>
      </c>
      <c r="AI15" s="104">
        <f>IF(AD15="","",IF(T15=1,IF(AD15="Probabilidad",P15-(P15*AG15),P15),IF(AD15="Probabilidad",#REF!-(#REF!*AG15),#REF!)))</f>
        <v>0.48</v>
      </c>
      <c r="AJ15" s="105" t="str">
        <f>+IF(AK15&lt;=datos!$AD$11,datos!$AC$11,IF(AK15&lt;=datos!$AD$12,datos!$AC$12,IF(AK15&lt;=datos!$AD$13,datos!$AC$13,IF(AK15&lt;=datos!$AD$14,datos!$AC$14,IF(AK15&lt;=datos!$AD$15,datos!$AC$15,"")))))</f>
        <v>Mayor</v>
      </c>
      <c r="AK15" s="104">
        <f>IF(AD15="","",IF(T15=1,IF(AD15="Impacto",R15-(R15*AG15),R15),IF(AD15="Impacto",#REF!-(#REF!*AG15),#REF!)))</f>
        <v>0.8</v>
      </c>
      <c r="AL15" s="105" t="str">
        <f ca="1" t="shared" si="0"/>
        <v>Alto</v>
      </c>
      <c r="AM15" s="147"/>
      <c r="AN15" s="137"/>
      <c r="AO15" s="138"/>
      <c r="AP15" s="135"/>
    </row>
    <row r="16" spans="1:42" ht="348.75" thickBot="1">
      <c r="A16" s="141">
        <v>5</v>
      </c>
      <c r="B16" s="84" t="s">
        <v>32</v>
      </c>
      <c r="C16" s="84" t="s">
        <v>250</v>
      </c>
      <c r="D16" s="90" t="str">
        <f>_xlfn.IFERROR(VLOOKUP(B16,datos!$B$1:$C$21,2,0),"")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6" s="82" t="s">
        <v>55</v>
      </c>
      <c r="F16" s="82"/>
      <c r="G16" s="82" t="s">
        <v>336</v>
      </c>
      <c r="H16" s="84" t="s">
        <v>233</v>
      </c>
      <c r="I16" s="84"/>
      <c r="J16" s="82" t="s">
        <v>337</v>
      </c>
      <c r="K16" s="139" t="s">
        <v>184</v>
      </c>
      <c r="L16" s="140" t="s">
        <v>59</v>
      </c>
      <c r="M16" s="143" t="s">
        <v>275</v>
      </c>
      <c r="N16" s="142">
        <v>42</v>
      </c>
      <c r="O16" s="105" t="str">
        <f>_xlfn.IFERROR(VLOOKUP(P16,datos!$AC$2:$AE$7,3,0),"")</f>
        <v>Media</v>
      </c>
      <c r="P16" s="144">
        <f>+IF(OR(N16="",N16=0),"",IF(N16&lt;=datos!$AD$3,datos!$AC$3,IF(AND(N16&gt;datos!$AD$3,N16&lt;=datos!$AD$4),datos!$AC$4,IF(AND(N16&gt;datos!$AD$4,N16&lt;=datos!$AD$5),datos!$AC$5,IF(AND(N16&gt;datos!$AD$5,N16&lt;=datos!$AD$6),datos!$AC$6,IF(N16&gt;datos!$AD$7,datos!$AC$7,0))))))</f>
        <v>0.6</v>
      </c>
      <c r="Q16" s="145" t="str">
        <f>+HLOOKUP(A16,'Impacto Riesgo de Corrupción'!$D$8:$AY$29,22,0)</f>
        <v>Mayor</v>
      </c>
      <c r="R16" s="144">
        <f>+IF(Q16="","",VLOOKUP(Q16,datos!$AC$12:$AD$15,2,0))</f>
        <v>0.8</v>
      </c>
      <c r="S16" s="134" t="str">
        <f ca="1">_xlfn.IFERROR(INDIRECT("datos!"&amp;HLOOKUP(Q16,calculo_imp,2,FALSE)&amp;VLOOKUP(O16,calculo_prob,2,FALSE)),"")</f>
        <v>Alto</v>
      </c>
      <c r="T16" s="95">
        <v>1</v>
      </c>
      <c r="U16" s="82" t="s">
        <v>347</v>
      </c>
      <c r="V16" s="81" t="s">
        <v>339</v>
      </c>
      <c r="W16" s="81" t="s">
        <v>348</v>
      </c>
      <c r="X16" s="81" t="s">
        <v>349</v>
      </c>
      <c r="Y16" s="81" t="s">
        <v>350</v>
      </c>
      <c r="Z16" s="81" t="s">
        <v>351</v>
      </c>
      <c r="AA16" s="81" t="s">
        <v>352</v>
      </c>
      <c r="AB16" s="81" t="s">
        <v>353</v>
      </c>
      <c r="AC16" s="81" t="s">
        <v>354</v>
      </c>
      <c r="AD16" s="88" t="str">
        <f>IF(AE16="","",VLOOKUP(AE16,datos!$AT$6:$AU$9,2,0))</f>
        <v>Probabilidad</v>
      </c>
      <c r="AE16" s="82" t="s">
        <v>80</v>
      </c>
      <c r="AF16" s="82" t="s">
        <v>84</v>
      </c>
      <c r="AG16" s="87">
        <f>IF(AND(AE16="",AF16=""),"",IF(AE16="",0,VLOOKUP(AE16,datos!$AP$3:$AR$7,3,0))+IF(AF16="",0,VLOOKUP(AF16,datos!$AP$3:$AR$7,3,0)))</f>
        <v>0.4</v>
      </c>
      <c r="AH16" s="112" t="str">
        <f>IF(OR(AI16="",AI16=0),"",IF(AI16&lt;=datos!$AC$3,datos!$AE$3,IF(AI16&lt;=datos!$AC$4,datos!$AE$4,IF(AI16&lt;=datos!$AC$5,datos!$AE$5,IF(AI16&lt;=datos!$AC$6,datos!$AE$6,IF(AI16&lt;=datos!$AC$7,datos!$AE$7,""))))))</f>
        <v>Baja</v>
      </c>
      <c r="AI16" s="109">
        <f>IF(AD16="","",IF(T16=1,IF(AD16="Probabilidad",P16-(P16*AG16),P16),IF(AD16="Probabilidad",#REF!-(#REF!*AG16),#REF!)))</f>
        <v>0.36</v>
      </c>
      <c r="AJ16" s="110" t="str">
        <f>+IF(AK16&lt;=datos!$AD$11,datos!$AC$11,IF(AK16&lt;=datos!$AD$12,datos!$AC$12,IF(AK16&lt;=datos!$AD$13,datos!$AC$13,IF(AK16&lt;=datos!$AD$14,datos!$AC$14,IF(AK16&lt;=datos!$AD$15,datos!$AC$15,"")))))</f>
        <v>Mayor</v>
      </c>
      <c r="AK16" s="109">
        <f>IF(AD16="","",IF(T16=1,IF(AD16="Impacto",R16-(R16*AG16),R16),IF(AD16="Impacto",#REF!-(#REF!*AG16),#REF!)))</f>
        <v>0.8</v>
      </c>
      <c r="AL16" s="110" t="str">
        <f ca="1" t="shared" si="0"/>
        <v>Alto</v>
      </c>
      <c r="AM16" s="147"/>
      <c r="AN16" s="137"/>
      <c r="AO16" s="138"/>
      <c r="AP16" s="136"/>
    </row>
    <row r="17" spans="1:42" ht="216">
      <c r="A17" s="219">
        <v>6</v>
      </c>
      <c r="B17" s="187" t="s">
        <v>30</v>
      </c>
      <c r="C17" s="187" t="s">
        <v>250</v>
      </c>
      <c r="D17" s="185" t="str">
        <f>_xlfn.IFERROR(VLOOKUP(B17,datos!$B$1:$C$21,2,0),"")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17" s="187" t="s">
        <v>54</v>
      </c>
      <c r="F17" s="187" t="s">
        <v>355</v>
      </c>
      <c r="G17" s="187" t="s">
        <v>356</v>
      </c>
      <c r="H17" s="187" t="s">
        <v>232</v>
      </c>
      <c r="I17" s="187" t="s">
        <v>357</v>
      </c>
      <c r="J17" s="187" t="s">
        <v>358</v>
      </c>
      <c r="K17" s="189" t="s">
        <v>184</v>
      </c>
      <c r="L17" s="191" t="s">
        <v>57</v>
      </c>
      <c r="M17" s="195" t="s">
        <v>275</v>
      </c>
      <c r="N17" s="193">
        <v>150</v>
      </c>
      <c r="O17" s="221" t="str">
        <f>_xlfn.IFERROR(VLOOKUP(P17,datos!$AC$2:$AE$7,3,0),"")</f>
        <v>Media</v>
      </c>
      <c r="P17" s="217">
        <f>+IF(OR(N17="",N17=0),"",IF(N17&lt;=datos!$AD$3,datos!$AC$3,IF(AND(N17&gt;datos!$AD$3,N17&lt;=datos!$AD$4),datos!$AC$4,IF(AND(N17&gt;datos!$AD$4,N17&lt;=datos!$AD$5),datos!$AC$5,IF(AND(N17&gt;datos!$AD$5,N17&lt;=datos!$AD$6),datos!$AC$6,IF(N17&gt;datos!$AD$7,datos!$AC$7,0))))))</f>
        <v>0.6</v>
      </c>
      <c r="Q17" s="215" t="str">
        <f>+HLOOKUP(A17,'Impacto Riesgo de Corrupción'!$D$8:$AY$29,22,0)</f>
        <v>Mayor</v>
      </c>
      <c r="R17" s="217">
        <f>+IF(Q17="","",VLOOKUP(Q17,datos!$AC$12:$AD$15,2,0))</f>
        <v>0.8</v>
      </c>
      <c r="S17" s="197" t="str">
        <f ca="1">_xlfn.IFERROR(INDIRECT("datos!"&amp;HLOOKUP(Q17,calculo_imp,2,FALSE)&amp;VLOOKUP(O17,calculo_prob,2,FALSE)),"")</f>
        <v>Alto</v>
      </c>
      <c r="T17" s="92">
        <v>1</v>
      </c>
      <c r="U17" s="84" t="s">
        <v>367</v>
      </c>
      <c r="V17" s="83" t="s">
        <v>368</v>
      </c>
      <c r="W17" s="83" t="s">
        <v>369</v>
      </c>
      <c r="X17" s="83" t="s">
        <v>370</v>
      </c>
      <c r="Y17" s="83" t="s">
        <v>371</v>
      </c>
      <c r="Z17" s="83" t="s">
        <v>372</v>
      </c>
      <c r="AA17" s="83" t="s">
        <v>373</v>
      </c>
      <c r="AB17" s="83" t="s">
        <v>374</v>
      </c>
      <c r="AC17" s="83" t="s">
        <v>375</v>
      </c>
      <c r="AD17" s="90" t="str">
        <f>IF(AE17="","",VLOOKUP(AE17,datos!$AT$6:$AU$9,2,0))</f>
        <v>Probabilidad</v>
      </c>
      <c r="AE17" s="84" t="s">
        <v>81</v>
      </c>
      <c r="AF17" s="84" t="s">
        <v>84</v>
      </c>
      <c r="AG17" s="85">
        <f>IF(AND(AE17="",AF17=""),"",IF(AE17="",0,VLOOKUP(AE17,datos!$AP$3:$AR$7,3,0))+IF(AF17="",0,VLOOKUP(AF17,datos!$AP$3:$AR$7,3,0)))</f>
        <v>0.3</v>
      </c>
      <c r="AH17" s="103" t="str">
        <f>IF(OR(AI17="",AI17=0),"",IF(AI17&lt;=datos!$AC$3,datos!$AE$3,IF(AI17&lt;=datos!$AC$4,datos!$AE$4,IF(AI17&lt;=datos!$AC$5,datos!$AE$5,IF(AI17&lt;=datos!$AC$6,datos!$AE$6,IF(AI17&lt;=datos!$AC$7,datos!$AE$7,""))))))</f>
        <v>Media</v>
      </c>
      <c r="AI17" s="104">
        <f>IF(AD17="","",IF(T17=1,IF(AD17="Probabilidad",P17-(P17*AG17),P17),IF(AD17="Probabilidad",#REF!-(#REF!*AG17),#REF!)))</f>
        <v>0.42</v>
      </c>
      <c r="AJ17" s="105" t="str">
        <f>+IF(AK17&lt;=datos!$AD$11,datos!$AC$11,IF(AK17&lt;=datos!$AD$12,datos!$AC$12,IF(AK17&lt;=datos!$AD$13,datos!$AC$13,IF(AK17&lt;=datos!$AD$14,datos!$AC$14,IF(AK17&lt;=datos!$AD$15,datos!$AC$15,"")))))</f>
        <v>Mayor</v>
      </c>
      <c r="AK17" s="104">
        <f>IF(AD17="","",IF(T17=1,IF(AD17="Impacto",R17-(R17*AG17),R17),IF(AD17="Impacto",#REF!-(#REF!*AG17),#REF!)))</f>
        <v>0.8</v>
      </c>
      <c r="AL17" s="105" t="str">
        <f ca="1" t="shared" si="0"/>
        <v>Alto</v>
      </c>
      <c r="AM17" s="224" t="s">
        <v>92</v>
      </c>
      <c r="AN17" s="226" t="s">
        <v>423</v>
      </c>
      <c r="AO17" s="228" t="s">
        <v>424</v>
      </c>
      <c r="AP17" s="199" t="s">
        <v>425</v>
      </c>
    </row>
    <row r="18" spans="1:42" ht="108">
      <c r="A18" s="220"/>
      <c r="B18" s="188"/>
      <c r="C18" s="188"/>
      <c r="D18" s="186"/>
      <c r="E18" s="188"/>
      <c r="F18" s="188"/>
      <c r="G18" s="188"/>
      <c r="H18" s="188"/>
      <c r="I18" s="188"/>
      <c r="J18" s="188"/>
      <c r="K18" s="190"/>
      <c r="L18" s="192"/>
      <c r="M18" s="196"/>
      <c r="N18" s="194"/>
      <c r="O18" s="222"/>
      <c r="P18" s="218"/>
      <c r="Q18" s="216"/>
      <c r="R18" s="218" t="e">
        <f>IF(OR(#REF!=datos!$AB$10,#REF!=datos!$AB$16),"",VLOOKUP(#REF!,datos!$AA$10:$AC$21,3,0))</f>
        <v>#REF!</v>
      </c>
      <c r="S18" s="198"/>
      <c r="T18" s="93">
        <v>2</v>
      </c>
      <c r="U18" s="80" t="s">
        <v>376</v>
      </c>
      <c r="V18" s="79" t="s">
        <v>368</v>
      </c>
      <c r="W18" s="79" t="s">
        <v>377</v>
      </c>
      <c r="X18" s="79" t="s">
        <v>378</v>
      </c>
      <c r="Y18" s="79" t="s">
        <v>379</v>
      </c>
      <c r="Z18" s="79" t="s">
        <v>380</v>
      </c>
      <c r="AA18" s="79" t="s">
        <v>381</v>
      </c>
      <c r="AB18" s="79" t="s">
        <v>382</v>
      </c>
      <c r="AC18" s="79" t="s">
        <v>383</v>
      </c>
      <c r="AD18" s="89" t="str">
        <f>IF(AE18="","",VLOOKUP(AE18,datos!$AT$6:$AU$9,2,0))</f>
        <v>Probabilidad</v>
      </c>
      <c r="AE18" s="80" t="s">
        <v>81</v>
      </c>
      <c r="AF18" s="80" t="s">
        <v>84</v>
      </c>
      <c r="AG18" s="86">
        <f>IF(AND(AE18="",AF18=""),"",IF(AE18="",0,VLOOKUP(AE18,datos!$AP$3:$AR$7,3,0))+IF(AF18="",0,VLOOKUP(AF18,datos!$AP$3:$AR$7,3,0)))</f>
        <v>0.3</v>
      </c>
      <c r="AH18" s="106" t="str">
        <f>IF(OR(AI18="",AI18=0),"",IF(AI18&lt;=datos!$AC$3,datos!$AE$3,IF(AI18&lt;=datos!$AC$4,datos!$AE$4,IF(AI18&lt;=datos!$AC$5,datos!$AE$5,IF(AI18&lt;=datos!$AC$6,datos!$AE$6,IF(AI18&lt;=datos!$AC$7,datos!$AE$7,""))))))</f>
        <v>Baja</v>
      </c>
      <c r="AI18" s="107">
        <f t="shared" si="1"/>
        <v>0.294</v>
      </c>
      <c r="AJ18" s="108" t="str">
        <f>+IF(AK18&lt;=datos!$AD$11,datos!$AC$11,IF(AK18&lt;=datos!$AD$12,datos!$AC$12,IF(AK18&lt;=datos!$AD$13,datos!$AC$13,IF(AK18&lt;=datos!$AD$14,datos!$AC$14,IF(AK18&lt;=datos!$AD$15,datos!$AC$15,"")))))</f>
        <v>Mayor</v>
      </c>
      <c r="AK18" s="107">
        <f t="shared" si="2"/>
        <v>0.8</v>
      </c>
      <c r="AL18" s="108" t="str">
        <f ca="1" t="shared" si="0"/>
        <v>Alto</v>
      </c>
      <c r="AM18" s="225"/>
      <c r="AN18" s="227"/>
      <c r="AO18" s="229"/>
      <c r="AP18" s="200"/>
    </row>
    <row r="19" spans="1:42" ht="96.75" thickBot="1">
      <c r="A19" s="220"/>
      <c r="B19" s="188"/>
      <c r="C19" s="188"/>
      <c r="D19" s="186"/>
      <c r="E19" s="188"/>
      <c r="F19" s="188"/>
      <c r="G19" s="188"/>
      <c r="H19" s="188"/>
      <c r="I19" s="188"/>
      <c r="J19" s="188"/>
      <c r="K19" s="190"/>
      <c r="L19" s="192"/>
      <c r="M19" s="196"/>
      <c r="N19" s="194"/>
      <c r="O19" s="222"/>
      <c r="P19" s="218"/>
      <c r="Q19" s="216"/>
      <c r="R19" s="218" t="e">
        <f>IF(OR(#REF!=datos!$AB$10,#REF!=datos!$AB$16),"",VLOOKUP(#REF!,datos!$AA$10:$AC$21,3,0))</f>
        <v>#REF!</v>
      </c>
      <c r="S19" s="198"/>
      <c r="T19" s="93">
        <v>3</v>
      </c>
      <c r="U19" s="80" t="s">
        <v>384</v>
      </c>
      <c r="V19" s="79" t="s">
        <v>368</v>
      </c>
      <c r="W19" s="79" t="s">
        <v>385</v>
      </c>
      <c r="X19" s="79" t="s">
        <v>386</v>
      </c>
      <c r="Y19" s="79" t="s">
        <v>387</v>
      </c>
      <c r="Z19" s="79" t="s">
        <v>388</v>
      </c>
      <c r="AA19" s="79" t="s">
        <v>389</v>
      </c>
      <c r="AB19" s="79" t="s">
        <v>390</v>
      </c>
      <c r="AC19" s="79" t="s">
        <v>391</v>
      </c>
      <c r="AD19" s="89" t="str">
        <f>IF(AE19="","",VLOOKUP(AE19,datos!$AT$6:$AU$9,2,0))</f>
        <v>Probabilidad</v>
      </c>
      <c r="AE19" s="80" t="s">
        <v>81</v>
      </c>
      <c r="AF19" s="80" t="s">
        <v>84</v>
      </c>
      <c r="AG19" s="86">
        <f>IF(AND(AE19="",AF19=""),"",IF(AE19="",0,VLOOKUP(AE19,datos!$AP$3:$AR$7,3,0))+IF(AF19="",0,VLOOKUP(AF19,datos!$AP$3:$AR$7,3,0)))</f>
        <v>0.3</v>
      </c>
      <c r="AH19" s="106" t="str">
        <f>IF(OR(AI19="",AI19=0),"",IF(AI19&lt;=datos!$AC$3,datos!$AE$3,IF(AI19&lt;=datos!$AC$4,datos!$AE$4,IF(AI19&lt;=datos!$AC$5,datos!$AE$5,IF(AI19&lt;=datos!$AC$6,datos!$AE$6,IF(AI19&lt;=datos!$AC$7,datos!$AE$7,""))))))</f>
        <v>Baja</v>
      </c>
      <c r="AI19" s="107">
        <f t="shared" si="1"/>
        <v>0.20579999999999998</v>
      </c>
      <c r="AJ19" s="108" t="str">
        <f>+IF(AK19&lt;=datos!$AD$11,datos!$AC$11,IF(AK19&lt;=datos!$AD$12,datos!$AC$12,IF(AK19&lt;=datos!$AD$13,datos!$AC$13,IF(AK19&lt;=datos!$AD$14,datos!$AC$14,IF(AK19&lt;=datos!$AD$15,datos!$AC$15,"")))))</f>
        <v>Mayor</v>
      </c>
      <c r="AK19" s="107">
        <f t="shared" si="2"/>
        <v>0.8</v>
      </c>
      <c r="AL19" s="108" t="str">
        <f ca="1" t="shared" si="0"/>
        <v>Alto</v>
      </c>
      <c r="AM19" s="225"/>
      <c r="AN19" s="227"/>
      <c r="AO19" s="229"/>
      <c r="AP19" s="200"/>
    </row>
    <row r="20" spans="1:42" ht="204.75" thickBot="1">
      <c r="A20" s="146">
        <v>7</v>
      </c>
      <c r="B20" s="84" t="s">
        <v>30</v>
      </c>
      <c r="C20" s="84" t="s">
        <v>250</v>
      </c>
      <c r="D20" s="90" t="str">
        <f>_xlfn.IFERROR(VLOOKUP(B20,datos!$B$1:$C$21,2,0),"")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0" s="84" t="s">
        <v>54</v>
      </c>
      <c r="F20" s="84" t="s">
        <v>359</v>
      </c>
      <c r="G20" s="84" t="s">
        <v>360</v>
      </c>
      <c r="H20" s="84" t="s">
        <v>233</v>
      </c>
      <c r="I20" s="84" t="s">
        <v>361</v>
      </c>
      <c r="J20" s="84" t="s">
        <v>362</v>
      </c>
      <c r="K20" s="139" t="s">
        <v>184</v>
      </c>
      <c r="L20" s="133" t="s">
        <v>57</v>
      </c>
      <c r="M20" s="143" t="s">
        <v>275</v>
      </c>
      <c r="N20" s="142">
        <v>1500</v>
      </c>
      <c r="O20" s="105" t="str">
        <f>_xlfn.IFERROR(VLOOKUP(P20,datos!$AC$2:$AE$7,3,0),"")</f>
        <v>Alta</v>
      </c>
      <c r="P20" s="144">
        <f>+IF(OR(N20="",N20=0),"",IF(N20&lt;=datos!$AD$3,datos!$AC$3,IF(AND(N20&gt;datos!$AD$3,N20&lt;=datos!$AD$4),datos!$AC$4,IF(AND(N20&gt;datos!$AD$4,N20&lt;=datos!$AD$5),datos!$AC$5,IF(AND(N20&gt;datos!$AD$5,N20&lt;=datos!$AD$6),datos!$AC$6,IF(N20&gt;datos!$AD$7,datos!$AC$7,0))))))</f>
        <v>0.8</v>
      </c>
      <c r="Q20" s="145" t="str">
        <f>+HLOOKUP(A20,'Impacto Riesgo de Corrupción'!$D$8:$AY$29,22,0)</f>
        <v>Mayor</v>
      </c>
      <c r="R20" s="144">
        <f>+IF(Q20="","",VLOOKUP(Q20,datos!$AC$12:$AD$15,2,0))</f>
        <v>0.8</v>
      </c>
      <c r="S20" s="134" t="str">
        <f ca="1">_xlfn.IFERROR(INDIRECT("datos!"&amp;HLOOKUP(Q20,calculo_imp,2,FALSE)&amp;VLOOKUP(O20,calculo_prob,2,FALSE)),"")</f>
        <v>Alto</v>
      </c>
      <c r="T20" s="92">
        <v>1</v>
      </c>
      <c r="U20" s="84" t="s">
        <v>392</v>
      </c>
      <c r="V20" s="83" t="s">
        <v>368</v>
      </c>
      <c r="W20" s="83" t="s">
        <v>393</v>
      </c>
      <c r="X20" s="83" t="s">
        <v>394</v>
      </c>
      <c r="Y20" s="83" t="s">
        <v>395</v>
      </c>
      <c r="Z20" s="83" t="s">
        <v>396</v>
      </c>
      <c r="AA20" s="83" t="s">
        <v>397</v>
      </c>
      <c r="AB20" s="83" t="s">
        <v>398</v>
      </c>
      <c r="AC20" s="83" t="s">
        <v>399</v>
      </c>
      <c r="AD20" s="90" t="str">
        <f>IF(AE20="","",VLOOKUP(AE20,datos!$AT$6:$AU$9,2,0))</f>
        <v>Probabilidad</v>
      </c>
      <c r="AE20" s="84" t="s">
        <v>81</v>
      </c>
      <c r="AF20" s="84" t="s">
        <v>84</v>
      </c>
      <c r="AG20" s="85">
        <f>IF(AND(AE20="",AF20=""),"",IF(AE20="",0,VLOOKUP(AE20,datos!$AP$3:$AR$7,3,0))+IF(AF20="",0,VLOOKUP(AF20,datos!$AP$3:$AR$7,3,0)))</f>
        <v>0.3</v>
      </c>
      <c r="AH20" s="103" t="str">
        <f>IF(OR(AI20="",AI20=0),"",IF(AI20&lt;=datos!$AC$3,datos!$AE$3,IF(AI20&lt;=datos!$AC$4,datos!$AE$4,IF(AI20&lt;=datos!$AC$5,datos!$AE$5,IF(AI20&lt;=datos!$AC$6,datos!$AE$6,IF(AI20&lt;=datos!$AC$7,datos!$AE$7,""))))))</f>
        <v>Media</v>
      </c>
      <c r="AI20" s="104">
        <f>IF(AD20="","",IF(T20=1,IF(AD20="Probabilidad",P20-(P20*AG20),P20),IF(AD20="Probabilidad",#REF!-(#REF!*AG20),#REF!)))</f>
        <v>0.56</v>
      </c>
      <c r="AJ20" s="105" t="str">
        <f>+IF(AK20&lt;=datos!$AD$11,datos!$AC$11,IF(AK20&lt;=datos!$AD$12,datos!$AC$12,IF(AK20&lt;=datos!$AD$13,datos!$AC$13,IF(AK20&lt;=datos!$AD$14,datos!$AC$14,IF(AK20&lt;=datos!$AD$15,datos!$AC$15,"")))))</f>
        <v>Mayor</v>
      </c>
      <c r="AK20" s="104">
        <f>IF(AD20="","",IF(T20=1,IF(AD20="Impacto",R20-(R20*AG20),R20),IF(AD20="Impacto",#REF!-(#REF!*AG20),#REF!)))</f>
        <v>0.8</v>
      </c>
      <c r="AL20" s="105" t="str">
        <f aca="true" ca="1" t="shared" si="3" ref="AL20:AL38">_xlfn.IFERROR(INDIRECT("datos!"&amp;HLOOKUP(AJ20,calculo_imp,2,FALSE)&amp;VLOOKUP(AH20,calculo_prob,2,FALSE)),"")</f>
        <v>Alto</v>
      </c>
      <c r="AM20" s="147" t="s">
        <v>92</v>
      </c>
      <c r="AN20" s="137" t="s">
        <v>423</v>
      </c>
      <c r="AO20" s="138" t="s">
        <v>424</v>
      </c>
      <c r="AP20" s="135" t="s">
        <v>425</v>
      </c>
    </row>
    <row r="21" spans="1:42" ht="84">
      <c r="A21" s="219">
        <v>8</v>
      </c>
      <c r="B21" s="187" t="s">
        <v>30</v>
      </c>
      <c r="C21" s="187" t="s">
        <v>250</v>
      </c>
      <c r="D21" s="185"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187" t="s">
        <v>54</v>
      </c>
      <c r="F21" s="187" t="s">
        <v>363</v>
      </c>
      <c r="G21" s="187" t="s">
        <v>360</v>
      </c>
      <c r="H21" s="187" t="s">
        <v>232</v>
      </c>
      <c r="I21" s="187" t="s">
        <v>357</v>
      </c>
      <c r="J21" s="187" t="s">
        <v>364</v>
      </c>
      <c r="K21" s="189" t="s">
        <v>184</v>
      </c>
      <c r="L21" s="191" t="s">
        <v>57</v>
      </c>
      <c r="M21" s="195" t="s">
        <v>275</v>
      </c>
      <c r="N21" s="193">
        <v>1300</v>
      </c>
      <c r="O21" s="221" t="str">
        <f>_xlfn.IFERROR(VLOOKUP(P21,datos!$AC$2:$AE$7,3,0),"")</f>
        <v>Alta</v>
      </c>
      <c r="P21" s="217">
        <f>+IF(OR(N21="",N21=0),"",IF(N21&lt;=datos!$AD$3,datos!$AC$3,IF(AND(N21&gt;datos!$AD$3,N21&lt;=datos!$AD$4),datos!$AC$4,IF(AND(N21&gt;datos!$AD$4,N21&lt;=datos!$AD$5),datos!$AC$5,IF(AND(N21&gt;datos!$AD$5,N21&lt;=datos!$AD$6),datos!$AC$6,IF(N21&gt;datos!$AD$7,datos!$AC$7,0))))))</f>
        <v>0.8</v>
      </c>
      <c r="Q21" s="215" t="str">
        <f>+HLOOKUP(A21,'Impacto Riesgo de Corrupción'!$D$8:$AY$29,22,0)</f>
        <v>Mayor</v>
      </c>
      <c r="R21" s="217">
        <f>+IF(Q21="","",VLOOKUP(Q21,datos!$AC$12:$AD$15,2,0))</f>
        <v>0.8</v>
      </c>
      <c r="S21" s="197" t="str">
        <f ca="1">_xlfn.IFERROR(INDIRECT("datos!"&amp;HLOOKUP(Q21,calculo_imp,2,FALSE)&amp;VLOOKUP(O21,calculo_prob,2,FALSE)),"")</f>
        <v>Alto</v>
      </c>
      <c r="T21" s="92">
        <v>1</v>
      </c>
      <c r="U21" s="84" t="s">
        <v>400</v>
      </c>
      <c r="V21" s="83" t="s">
        <v>401</v>
      </c>
      <c r="W21" s="83" t="s">
        <v>402</v>
      </c>
      <c r="X21" s="83" t="s">
        <v>403</v>
      </c>
      <c r="Y21" s="83" t="s">
        <v>404</v>
      </c>
      <c r="Z21" s="83" t="s">
        <v>405</v>
      </c>
      <c r="AA21" s="83" t="s">
        <v>406</v>
      </c>
      <c r="AB21" s="83" t="s">
        <v>407</v>
      </c>
      <c r="AC21" s="83" t="s">
        <v>399</v>
      </c>
      <c r="AD21" s="90" t="str">
        <f>IF(AE21="","",VLOOKUP(AE21,datos!$AT$6:$AU$9,2,0))</f>
        <v>Probabilidad</v>
      </c>
      <c r="AE21" s="84" t="s">
        <v>81</v>
      </c>
      <c r="AF21" s="84" t="s">
        <v>84</v>
      </c>
      <c r="AG21" s="85">
        <f>IF(AND(AE21="",AF21=""),"",IF(AE21="",0,VLOOKUP(AE21,datos!$AP$3:$AR$7,3,0))+IF(AF21="",0,VLOOKUP(AF21,datos!$AP$3:$AR$7,3,0)))</f>
        <v>0.3</v>
      </c>
      <c r="AH21" s="103" t="str">
        <f>IF(OR(AI21="",AI21=0),"",IF(AI21&lt;=datos!$AC$3,datos!$AE$3,IF(AI21&lt;=datos!$AC$4,datos!$AE$4,IF(AI21&lt;=datos!$AC$5,datos!$AE$5,IF(AI21&lt;=datos!$AC$6,datos!$AE$6,IF(AI21&lt;=datos!$AC$7,datos!$AE$7,""))))))</f>
        <v>Media</v>
      </c>
      <c r="AI21" s="104">
        <f>IF(AD21="","",IF(T21=1,IF(AD21="Probabilidad",P21-(P21*AG21),P21),IF(AD21="Probabilidad",#REF!-(#REF!*AG21),#REF!)))</f>
        <v>0.56</v>
      </c>
      <c r="AJ21" s="105" t="str">
        <f>+IF(AK21&lt;=datos!$AD$11,datos!$AC$11,IF(AK21&lt;=datos!$AD$12,datos!$AC$12,IF(AK21&lt;=datos!$AD$13,datos!$AC$13,IF(AK21&lt;=datos!$AD$14,datos!$AC$14,IF(AK21&lt;=datos!$AD$15,datos!$AC$15,"")))))</f>
        <v>Mayor</v>
      </c>
      <c r="AK21" s="104">
        <f>IF(AD21="","",IF(T21=1,IF(AD21="Impacto",R21-(R21*AG21),R21),IF(AD21="Impacto",#REF!-(#REF!*AG21),#REF!)))</f>
        <v>0.8</v>
      </c>
      <c r="AL21" s="105" t="str">
        <f ca="1" t="shared" si="3"/>
        <v>Alto</v>
      </c>
      <c r="AM21" s="224" t="s">
        <v>92</v>
      </c>
      <c r="AN21" s="226" t="s">
        <v>426</v>
      </c>
      <c r="AO21" s="228" t="s">
        <v>424</v>
      </c>
      <c r="AP21" s="199" t="s">
        <v>425</v>
      </c>
    </row>
    <row r="22" spans="1:42" ht="120.75" thickBot="1">
      <c r="A22" s="220"/>
      <c r="B22" s="188"/>
      <c r="C22" s="188"/>
      <c r="D22" s="186"/>
      <c r="E22" s="188"/>
      <c r="F22" s="188"/>
      <c r="G22" s="188"/>
      <c r="H22" s="188"/>
      <c r="I22" s="188"/>
      <c r="J22" s="188"/>
      <c r="K22" s="190"/>
      <c r="L22" s="192"/>
      <c r="M22" s="196"/>
      <c r="N22" s="194"/>
      <c r="O22" s="222"/>
      <c r="P22" s="218"/>
      <c r="Q22" s="216"/>
      <c r="R22" s="218" t="e">
        <f>IF(OR(#REF!=datos!$AB$10,#REF!=datos!$AB$16),"",VLOOKUP(#REF!,datos!$AA$10:$AC$21,3,0))</f>
        <v>#REF!</v>
      </c>
      <c r="S22" s="198"/>
      <c r="T22" s="93">
        <v>2</v>
      </c>
      <c r="U22" s="80" t="s">
        <v>408</v>
      </c>
      <c r="V22" s="79" t="s">
        <v>409</v>
      </c>
      <c r="W22" s="79" t="s">
        <v>410</v>
      </c>
      <c r="X22" s="79" t="s">
        <v>411</v>
      </c>
      <c r="Y22" s="79" t="s">
        <v>412</v>
      </c>
      <c r="Z22" s="79" t="s">
        <v>316</v>
      </c>
      <c r="AA22" s="79" t="s">
        <v>413</v>
      </c>
      <c r="AB22" s="79" t="s">
        <v>414</v>
      </c>
      <c r="AC22" s="79" t="s">
        <v>399</v>
      </c>
      <c r="AD22" s="89" t="str">
        <f>IF(AE22="","",VLOOKUP(AE22,datos!$AT$6:$AU$9,2,0))</f>
        <v>Probabilidad</v>
      </c>
      <c r="AE22" s="80" t="s">
        <v>81</v>
      </c>
      <c r="AF22" s="80" t="s">
        <v>84</v>
      </c>
      <c r="AG22" s="86">
        <f>IF(AND(AE22="",AF22=""),"",IF(AE22="",0,VLOOKUP(AE22,datos!$AP$3:$AR$7,3,0))+IF(AF22="",0,VLOOKUP(AF22,datos!$AP$3:$AR$7,3,0)))</f>
        <v>0.3</v>
      </c>
      <c r="AH22" s="106" t="str">
        <f>IF(OR(AI22="",AI22=0),"",IF(AI22&lt;=datos!$AC$3,datos!$AE$3,IF(AI22&lt;=datos!$AC$4,datos!$AE$4,IF(AI22&lt;=datos!$AC$5,datos!$AE$5,IF(AI22&lt;=datos!$AC$6,datos!$AE$6,IF(AI22&lt;=datos!$AC$7,datos!$AE$7,""))))))</f>
        <v>Baja</v>
      </c>
      <c r="AI22" s="107">
        <f>IF(AD22="","",IF(T22=1,IF(AD22="Probabilidad",P22-(P22*AG22),P22),IF(AD22="Probabilidad",AI21-(AI21*AG22),AI21)))</f>
        <v>0.392</v>
      </c>
      <c r="AJ22" s="108" t="str">
        <f>+IF(AK22&lt;=datos!$AD$11,datos!$AC$11,IF(AK22&lt;=datos!$AD$12,datos!$AC$12,IF(AK22&lt;=datos!$AD$13,datos!$AC$13,IF(AK22&lt;=datos!$AD$14,datos!$AC$14,IF(AK22&lt;=datos!$AD$15,datos!$AC$15,"")))))</f>
        <v>Mayor</v>
      </c>
      <c r="AK22" s="107">
        <f>IF(AD22="","",IF(T22=1,IF(AD22="Impacto",R22-(R22*AG22),R22),IF(AD22="Impacto",AK21-(AK21*AG22),AK21)))</f>
        <v>0.8</v>
      </c>
      <c r="AL22" s="108" t="str">
        <f ca="1" t="shared" si="3"/>
        <v>Alto</v>
      </c>
      <c r="AM22" s="225"/>
      <c r="AN22" s="227"/>
      <c r="AO22" s="229"/>
      <c r="AP22" s="200"/>
    </row>
    <row r="23" spans="1:42" ht="204.75" thickBot="1">
      <c r="A23" s="141">
        <v>9</v>
      </c>
      <c r="B23" s="84" t="s">
        <v>30</v>
      </c>
      <c r="C23" s="84" t="s">
        <v>250</v>
      </c>
      <c r="D23" s="90" t="str">
        <f>_xlfn.IFERROR(VLOOKUP(B23,datos!$B$1:$C$21,2,0),"")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3" s="82" t="s">
        <v>54</v>
      </c>
      <c r="F23" s="82" t="s">
        <v>365</v>
      </c>
      <c r="G23" s="82" t="s">
        <v>360</v>
      </c>
      <c r="H23" s="84" t="s">
        <v>232</v>
      </c>
      <c r="I23" s="84" t="s">
        <v>361</v>
      </c>
      <c r="J23" s="82" t="s">
        <v>366</v>
      </c>
      <c r="K23" s="139" t="s">
        <v>184</v>
      </c>
      <c r="L23" s="140" t="s">
        <v>57</v>
      </c>
      <c r="M23" s="143" t="s">
        <v>275</v>
      </c>
      <c r="N23" s="142">
        <v>20</v>
      </c>
      <c r="O23" s="105" t="str">
        <f>_xlfn.IFERROR(VLOOKUP(P23,datos!$AC$2:$AE$7,3,0),"")</f>
        <v>Baja</v>
      </c>
      <c r="P23" s="144">
        <f>+IF(OR(N23="",N23=0),"",IF(N23&lt;=datos!$AD$3,datos!$AC$3,IF(AND(N23&gt;datos!$AD$3,N23&lt;=datos!$AD$4),datos!$AC$4,IF(AND(N23&gt;datos!$AD$4,N23&lt;=datos!$AD$5),datos!$AC$5,IF(AND(N23&gt;datos!$AD$5,N23&lt;=datos!$AD$6),datos!$AC$6,IF(N23&gt;datos!$AD$7,datos!$AC$7,0))))))</f>
        <v>0.4</v>
      </c>
      <c r="Q23" s="145" t="str">
        <f>+HLOOKUP(A23,'Impacto Riesgo de Corrupción'!$D$8:$AY$29,22,0)</f>
        <v>Mayor</v>
      </c>
      <c r="R23" s="144">
        <f>+IF(Q23="","",VLOOKUP(Q23,datos!$AC$12:$AD$15,2,0))</f>
        <v>0.8</v>
      </c>
      <c r="S23" s="134" t="str">
        <f ca="1">_xlfn.IFERROR(INDIRECT("datos!"&amp;HLOOKUP(Q23,calculo_imp,2,FALSE)&amp;VLOOKUP(O23,calculo_prob,2,FALSE)),"")</f>
        <v>Alto</v>
      </c>
      <c r="T23" s="95">
        <v>1</v>
      </c>
      <c r="U23" s="82" t="s">
        <v>415</v>
      </c>
      <c r="V23" s="81" t="s">
        <v>416</v>
      </c>
      <c r="W23" s="81" t="s">
        <v>417</v>
      </c>
      <c r="X23" s="81" t="s">
        <v>418</v>
      </c>
      <c r="Y23" s="81" t="s">
        <v>419</v>
      </c>
      <c r="Z23" s="81" t="s">
        <v>420</v>
      </c>
      <c r="AA23" s="81" t="s">
        <v>421</v>
      </c>
      <c r="AB23" s="81" t="s">
        <v>422</v>
      </c>
      <c r="AC23" s="81" t="s">
        <v>399</v>
      </c>
      <c r="AD23" s="88" t="str">
        <f>IF(AE23="","",VLOOKUP(AE23,datos!$AT$6:$AU$9,2,0))</f>
        <v>Probabilidad</v>
      </c>
      <c r="AE23" s="82" t="s">
        <v>81</v>
      </c>
      <c r="AF23" s="82" t="s">
        <v>84</v>
      </c>
      <c r="AG23" s="87">
        <f>IF(AND(AE23="",AF23=""),"",IF(AE23="",0,VLOOKUP(AE23,datos!$AP$3:$AR$7,3,0))+IF(AF23="",0,VLOOKUP(AF23,datos!$AP$3:$AR$7,3,0)))</f>
        <v>0.3</v>
      </c>
      <c r="AH23" s="112" t="str">
        <f>IF(OR(AI23="",AI23=0),"",IF(AI23&lt;=datos!$AC$3,datos!$AE$3,IF(AI23&lt;=datos!$AC$4,datos!$AE$4,IF(AI23&lt;=datos!$AC$5,datos!$AE$5,IF(AI23&lt;=datos!$AC$6,datos!$AE$6,IF(AI23&lt;=datos!$AC$7,datos!$AE$7,""))))))</f>
        <v>Baja</v>
      </c>
      <c r="AI23" s="109">
        <f>IF(AD23="","",IF(T23=1,IF(AD23="Probabilidad",P23-(P23*AG23),P23),IF(AD23="Probabilidad",#REF!-(#REF!*AG23),#REF!)))</f>
        <v>0.28</v>
      </c>
      <c r="AJ23" s="110" t="str">
        <f>+IF(AK23&lt;=datos!$AD$11,datos!$AC$11,IF(AK23&lt;=datos!$AD$12,datos!$AC$12,IF(AK23&lt;=datos!$AD$13,datos!$AC$13,IF(AK23&lt;=datos!$AD$14,datos!$AC$14,IF(AK23&lt;=datos!$AD$15,datos!$AC$15,"")))))</f>
        <v>Mayor</v>
      </c>
      <c r="AK23" s="109">
        <f>IF(AD23="","",IF(T23=1,IF(AD23="Impacto",R23-(R23*AG23),R23),IF(AD23="Impacto",#REF!-(#REF!*AG23),#REF!)))</f>
        <v>0.8</v>
      </c>
      <c r="AL23" s="110" t="str">
        <f ca="1" t="shared" si="3"/>
        <v>Alto</v>
      </c>
      <c r="AM23" s="147" t="s">
        <v>92</v>
      </c>
      <c r="AN23" s="137" t="s">
        <v>426</v>
      </c>
      <c r="AO23" s="138" t="s">
        <v>424</v>
      </c>
      <c r="AP23" s="136" t="s">
        <v>425</v>
      </c>
    </row>
    <row r="24" spans="1:42" ht="276.75" thickBot="1">
      <c r="A24" s="146">
        <v>10</v>
      </c>
      <c r="B24" s="84" t="s">
        <v>35</v>
      </c>
      <c r="C24" s="84" t="s">
        <v>247</v>
      </c>
      <c r="D24" s="90" t="str">
        <f>_xlfn.IFERROR(VLOOKUP(B24,datos!$B$1:$C$21,2,0),"")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4" s="84" t="s">
        <v>55</v>
      </c>
      <c r="F24" s="84" t="s">
        <v>427</v>
      </c>
      <c r="G24" s="84" t="s">
        <v>428</v>
      </c>
      <c r="H24" s="84" t="s">
        <v>233</v>
      </c>
      <c r="I24" s="84" t="s">
        <v>429</v>
      </c>
      <c r="J24" s="84" t="s">
        <v>430</v>
      </c>
      <c r="K24" s="139" t="s">
        <v>184</v>
      </c>
      <c r="L24" s="133" t="s">
        <v>197</v>
      </c>
      <c r="M24" s="143" t="s">
        <v>12</v>
      </c>
      <c r="N24" s="142">
        <v>16000</v>
      </c>
      <c r="O24" s="105" t="str">
        <f>_xlfn.IFERROR(VLOOKUP(P24,datos!$AC$2:$AE$7,3,0),"")</f>
        <v>Muy Alta</v>
      </c>
      <c r="P24" s="144">
        <f>+IF(OR(N24="",N24=0),"",IF(N24&lt;=datos!$AD$3,datos!$AC$3,IF(AND(N24&gt;datos!$AD$3,N24&lt;=datos!$AD$4),datos!$AC$4,IF(AND(N24&gt;datos!$AD$4,N24&lt;=datos!$AD$5),datos!$AC$5,IF(AND(N24&gt;datos!$AD$5,N24&lt;=datos!$AD$6),datos!$AC$6,IF(N24&gt;datos!$AD$7,datos!$AC$7,0))))))</f>
        <v>1</v>
      </c>
      <c r="Q24" s="145" t="str">
        <f>+HLOOKUP(A24,'Impacto Riesgo de Corrupción'!$D$8:$AY$29,22,0)</f>
        <v>Catastrófico</v>
      </c>
      <c r="R24" s="144">
        <f>+IF(Q24="","",VLOOKUP(Q24,datos!$AC$12:$AD$15,2,0))</f>
        <v>1</v>
      </c>
      <c r="S24" s="134" t="str">
        <f ca="1">_xlfn.IFERROR(INDIRECT("datos!"&amp;HLOOKUP(Q24,calculo_imp,2,FALSE)&amp;VLOOKUP(O24,calculo_prob,2,FALSE)),"")</f>
        <v>Extremo</v>
      </c>
      <c r="T24" s="92">
        <v>1</v>
      </c>
      <c r="U24" s="84" t="s">
        <v>431</v>
      </c>
      <c r="V24" s="83" t="s">
        <v>432</v>
      </c>
      <c r="W24" s="83" t="s">
        <v>433</v>
      </c>
      <c r="X24" s="83" t="s">
        <v>434</v>
      </c>
      <c r="Y24" s="83" t="s">
        <v>435</v>
      </c>
      <c r="Z24" s="83" t="s">
        <v>436</v>
      </c>
      <c r="AA24" s="83" t="s">
        <v>437</v>
      </c>
      <c r="AB24" s="83" t="s">
        <v>438</v>
      </c>
      <c r="AC24" s="83" t="s">
        <v>439</v>
      </c>
      <c r="AD24" s="90" t="str">
        <f>IF(AE24="","",VLOOKUP(AE24,datos!$AT$6:$AU$9,2,0))</f>
        <v>Probabilidad</v>
      </c>
      <c r="AE24" s="84" t="s">
        <v>81</v>
      </c>
      <c r="AF24" s="84" t="s">
        <v>84</v>
      </c>
      <c r="AG24" s="85">
        <f>IF(AND(AE24="",AF24=""),"",IF(AE24="",0,VLOOKUP(AE24,datos!$AP$3:$AR$7,3,0))+IF(AF24="",0,VLOOKUP(AF24,datos!$AP$3:$AR$7,3,0)))</f>
        <v>0.3</v>
      </c>
      <c r="AH24" s="103" t="str">
        <f>IF(OR(AI24="",AI24=0),"",IF(AI24&lt;=datos!$AC$3,datos!$AE$3,IF(AI24&lt;=datos!$AC$4,datos!$AE$4,IF(AI24&lt;=datos!$AC$5,datos!$AE$5,IF(AI24&lt;=datos!$AC$6,datos!$AE$6,IF(AI24&lt;=datos!$AC$7,datos!$AE$7,""))))))</f>
        <v>Alta</v>
      </c>
      <c r="AI24" s="104">
        <f>IF(AD24="","",IF(T24=1,IF(AD24="Probabilidad",P24-(P24*AG24),P24),IF(AD24="Probabilidad",#REF!-(#REF!*AG24),#REF!)))</f>
        <v>0.7</v>
      </c>
      <c r="AJ24" s="105" t="str">
        <f>+IF(AK24&lt;=datos!$AD$11,datos!$AC$11,IF(AK24&lt;=datos!$AD$12,datos!$AC$12,IF(AK24&lt;=datos!$AD$13,datos!$AC$13,IF(AK24&lt;=datos!$AD$14,datos!$AC$14,IF(AK24&lt;=datos!$AD$15,datos!$AC$15,"")))))</f>
        <v>Catastrófico</v>
      </c>
      <c r="AK24" s="104">
        <f>IF(AD24="","",IF(T24=1,IF(AD24="Impacto",R24-(R24*AG24),R24),IF(AD24="Impacto",#REF!-(#REF!*AG24),#REF!)))</f>
        <v>1</v>
      </c>
      <c r="AL24" s="105" t="str">
        <f ca="1" t="shared" si="3"/>
        <v>Extremo</v>
      </c>
      <c r="AM24" s="147" t="s">
        <v>92</v>
      </c>
      <c r="AN24" s="137"/>
      <c r="AO24" s="138"/>
      <c r="AP24" s="135"/>
    </row>
    <row r="25" spans="1:42" ht="72">
      <c r="A25" s="219">
        <v>11</v>
      </c>
      <c r="B25" s="187" t="s">
        <v>27</v>
      </c>
      <c r="C25" s="187" t="s">
        <v>250</v>
      </c>
      <c r="D25" s="185" t="str">
        <f>_xlfn.IFERROR(VLOOKUP(B25,datos!$B$1:$C$21,2,0),"")</f>
        <v>Evaluar en la Secretaria Distrital de Salud, los sistemas de gestión y control, mediante metodologías de auditoría y de seguimiento, promoviendo la cultura del autocontrol, mejoramiento continuo y acciones eficaces en las líneas de defensa.</v>
      </c>
      <c r="E25" s="187" t="s">
        <v>55</v>
      </c>
      <c r="F25" s="187" t="s">
        <v>440</v>
      </c>
      <c r="G25" s="187" t="s">
        <v>441</v>
      </c>
      <c r="H25" s="187" t="s">
        <v>233</v>
      </c>
      <c r="I25" s="187" t="s">
        <v>442</v>
      </c>
      <c r="J25" s="187" t="s">
        <v>443</v>
      </c>
      <c r="K25" s="189" t="s">
        <v>184</v>
      </c>
      <c r="L25" s="191" t="s">
        <v>57</v>
      </c>
      <c r="M25" s="195" t="s">
        <v>275</v>
      </c>
      <c r="N25" s="193">
        <v>36</v>
      </c>
      <c r="O25" s="221" t="str">
        <f>_xlfn.IFERROR(VLOOKUP(P25,datos!$AC$2:$AE$7,3,0),"")</f>
        <v>Media</v>
      </c>
      <c r="P25" s="217">
        <f>+IF(OR(N25="",N25=0),"",IF(N25&lt;=datos!$AD$3,datos!$AC$3,IF(AND(N25&gt;datos!$AD$3,N25&lt;=datos!$AD$4),datos!$AC$4,IF(AND(N25&gt;datos!$AD$4,N25&lt;=datos!$AD$5),datos!$AC$5,IF(AND(N25&gt;datos!$AD$5,N25&lt;=datos!$AD$6),datos!$AC$6,IF(N25&gt;datos!$AD$7,datos!$AC$7,0))))))</f>
        <v>0.6</v>
      </c>
      <c r="Q25" s="215" t="str">
        <f>+HLOOKUP(A25,'Impacto Riesgo de Corrupción'!$D$8:$AY$29,22,0)</f>
        <v>Mayor</v>
      </c>
      <c r="R25" s="217">
        <f>+IF(Q25="","",VLOOKUP(Q25,datos!$AC$12:$AD$15,2,0))</f>
        <v>0.8</v>
      </c>
      <c r="S25" s="197" t="str">
        <f ca="1">_xlfn.IFERROR(INDIRECT("datos!"&amp;HLOOKUP(Q25,calculo_imp,2,FALSE)&amp;VLOOKUP(O25,calculo_prob,2,FALSE)),"")</f>
        <v>Alto</v>
      </c>
      <c r="T25" s="92">
        <v>1</v>
      </c>
      <c r="U25" s="84" t="s">
        <v>444</v>
      </c>
      <c r="V25" s="83" t="s">
        <v>445</v>
      </c>
      <c r="W25" s="83" t="s">
        <v>446</v>
      </c>
      <c r="X25" s="83" t="s">
        <v>447</v>
      </c>
      <c r="Y25" s="83" t="s">
        <v>448</v>
      </c>
      <c r="Z25" s="83" t="s">
        <v>449</v>
      </c>
      <c r="AA25" s="83" t="s">
        <v>450</v>
      </c>
      <c r="AB25" s="83" t="s">
        <v>451</v>
      </c>
      <c r="AC25" s="83" t="s">
        <v>452</v>
      </c>
      <c r="AD25" s="90" t="str">
        <f>IF(AE25="","",VLOOKUP(AE25,datos!$AT$6:$AU$9,2,0))</f>
        <v>Probabilidad</v>
      </c>
      <c r="AE25" s="84" t="s">
        <v>80</v>
      </c>
      <c r="AF25" s="84" t="s">
        <v>84</v>
      </c>
      <c r="AG25" s="85">
        <f>IF(AND(AE25="",AF25=""),"",IF(AE25="",0,VLOOKUP(AE25,datos!$AP$3:$AR$7,3,0))+IF(AF25="",0,VLOOKUP(AF25,datos!$AP$3:$AR$7,3,0)))</f>
        <v>0.4</v>
      </c>
      <c r="AH25" s="103" t="str">
        <f>IF(OR(AI25="",AI25=0),"",IF(AI25&lt;=datos!$AC$3,datos!$AE$3,IF(AI25&lt;=datos!$AC$4,datos!$AE$4,IF(AI25&lt;=datos!$AC$5,datos!$AE$5,IF(AI25&lt;=datos!$AC$6,datos!$AE$6,IF(AI25&lt;=datos!$AC$7,datos!$AE$7,""))))))</f>
        <v>Baja</v>
      </c>
      <c r="AI25" s="104">
        <f>IF(AD25="","",IF(T25=1,IF(AD25="Probabilidad",P25-(P25*AG25),P25),IF(AD25="Probabilidad",#REF!-(#REF!*AG25),#REF!)))</f>
        <v>0.36</v>
      </c>
      <c r="AJ25" s="105" t="str">
        <f>+IF(AK25&lt;=datos!$AD$11,datos!$AC$11,IF(AK25&lt;=datos!$AD$12,datos!$AC$12,IF(AK25&lt;=datos!$AD$13,datos!$AC$13,IF(AK25&lt;=datos!$AD$14,datos!$AC$14,IF(AK25&lt;=datos!$AD$15,datos!$AC$15,"")))))</f>
        <v>Mayor</v>
      </c>
      <c r="AK25" s="104">
        <f>IF(AD25="","",IF(T25=1,IF(AD25="Impacto",R25-(R25*AG25),R25),IF(AD25="Impacto",#REF!-(#REF!*AG25),#REF!)))</f>
        <v>0.8</v>
      </c>
      <c r="AL25" s="105" t="str">
        <f ca="1" t="shared" si="3"/>
        <v>Alto</v>
      </c>
      <c r="AM25" s="224"/>
      <c r="AN25" s="226"/>
      <c r="AO25" s="228"/>
      <c r="AP25" s="199"/>
    </row>
    <row r="26" spans="1:42" ht="48.75" thickBot="1">
      <c r="A26" s="220"/>
      <c r="B26" s="188"/>
      <c r="C26" s="188"/>
      <c r="D26" s="186"/>
      <c r="E26" s="188"/>
      <c r="F26" s="188"/>
      <c r="G26" s="188"/>
      <c r="H26" s="188"/>
      <c r="I26" s="188"/>
      <c r="J26" s="188"/>
      <c r="K26" s="190"/>
      <c r="L26" s="192"/>
      <c r="M26" s="196"/>
      <c r="N26" s="194"/>
      <c r="O26" s="222"/>
      <c r="P26" s="218"/>
      <c r="Q26" s="216"/>
      <c r="R26" s="218" t="e">
        <f>IF(OR(#REF!=datos!$AB$10,#REF!=datos!$AB$16),"",VLOOKUP(#REF!,datos!$AA$10:$AC$21,3,0))</f>
        <v>#REF!</v>
      </c>
      <c r="S26" s="198"/>
      <c r="T26" s="93">
        <v>2</v>
      </c>
      <c r="U26" s="80" t="s">
        <v>453</v>
      </c>
      <c r="V26" s="79" t="s">
        <v>454</v>
      </c>
      <c r="W26" s="79" t="s">
        <v>455</v>
      </c>
      <c r="X26" s="79" t="s">
        <v>456</v>
      </c>
      <c r="Y26" s="79" t="s">
        <v>457</v>
      </c>
      <c r="Z26" s="79" t="s">
        <v>458</v>
      </c>
      <c r="AA26" s="79" t="s">
        <v>459</v>
      </c>
      <c r="AB26" s="79" t="s">
        <v>460</v>
      </c>
      <c r="AC26" s="79" t="s">
        <v>452</v>
      </c>
      <c r="AD26" s="89" t="str">
        <f>IF(AE26="","",VLOOKUP(AE26,datos!$AT$6:$AU$9,2,0))</f>
        <v>Probabilidad</v>
      </c>
      <c r="AE26" s="80" t="s">
        <v>80</v>
      </c>
      <c r="AF26" s="80" t="s">
        <v>84</v>
      </c>
      <c r="AG26" s="86">
        <f>IF(AND(AE26="",AF26=""),"",IF(AE26="",0,VLOOKUP(AE26,datos!$AP$3:$AR$7,3,0))+IF(AF26="",0,VLOOKUP(AF26,datos!$AP$3:$AR$7,3,0)))</f>
        <v>0.4</v>
      </c>
      <c r="AH26" s="106" t="str">
        <f>IF(OR(AI26="",AI26=0),"",IF(AI26&lt;=datos!$AC$3,datos!$AE$3,IF(AI26&lt;=datos!$AC$4,datos!$AE$4,IF(AI26&lt;=datos!$AC$5,datos!$AE$5,IF(AI26&lt;=datos!$AC$6,datos!$AE$6,IF(AI26&lt;=datos!$AC$7,datos!$AE$7,""))))))</f>
        <v>Baja</v>
      </c>
      <c r="AI26" s="107">
        <f>IF(AD26="","",IF(T26=1,IF(AD26="Probabilidad",P26-(P26*AG26),P26),IF(AD26="Probabilidad",AI25-(AI25*AG26),AI25)))</f>
        <v>0.216</v>
      </c>
      <c r="AJ26" s="108" t="str">
        <f>+IF(AK26&lt;=datos!$AD$11,datos!$AC$11,IF(AK26&lt;=datos!$AD$12,datos!$AC$12,IF(AK26&lt;=datos!$AD$13,datos!$AC$13,IF(AK26&lt;=datos!$AD$14,datos!$AC$14,IF(AK26&lt;=datos!$AD$15,datos!$AC$15,"")))))</f>
        <v>Mayor</v>
      </c>
      <c r="AK26" s="107">
        <f>IF(AD26="","",IF(T26=1,IF(AD26="Impacto",R26-(R26*AG26),R26),IF(AD26="Impacto",AK25-(AK25*AG26),AK25)))</f>
        <v>0.8</v>
      </c>
      <c r="AL26" s="108" t="str">
        <f ca="1" t="shared" si="3"/>
        <v>Alto</v>
      </c>
      <c r="AM26" s="225"/>
      <c r="AN26" s="227"/>
      <c r="AO26" s="229"/>
      <c r="AP26" s="200"/>
    </row>
    <row r="27" spans="1:42" ht="60">
      <c r="A27" s="219">
        <v>12</v>
      </c>
      <c r="B27" s="187" t="s">
        <v>39</v>
      </c>
      <c r="C27" s="187" t="s">
        <v>250</v>
      </c>
      <c r="D27" s="185" t="str">
        <f>_xlfn.IFERROR(VLOOKUP(B27,datos!$B$1:$C$21,2,0),"")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7" s="187" t="s">
        <v>55</v>
      </c>
      <c r="F27" s="187" t="s">
        <v>461</v>
      </c>
      <c r="G27" s="187" t="s">
        <v>462</v>
      </c>
      <c r="H27" s="187" t="s">
        <v>233</v>
      </c>
      <c r="I27" s="187" t="s">
        <v>463</v>
      </c>
      <c r="J27" s="187" t="s">
        <v>464</v>
      </c>
      <c r="K27" s="189" t="s">
        <v>184</v>
      </c>
      <c r="L27" s="191" t="s">
        <v>197</v>
      </c>
      <c r="M27" s="195" t="s">
        <v>12</v>
      </c>
      <c r="N27" s="193">
        <v>2</v>
      </c>
      <c r="O27" s="221" t="str">
        <f>_xlfn.IFERROR(VLOOKUP(P27,datos!$AC$2:$AE$7,3,0),"")</f>
        <v>Muy Baja</v>
      </c>
      <c r="P27" s="217">
        <f>+IF(OR(N27="",N27=0),"",IF(N27&lt;=datos!$AD$3,datos!$AC$3,IF(AND(N27&gt;datos!$AD$3,N27&lt;=datos!$AD$4),datos!$AC$4,IF(AND(N27&gt;datos!$AD$4,N27&lt;=datos!$AD$5),datos!$AC$5,IF(AND(N27&gt;datos!$AD$5,N27&lt;=datos!$AD$6),datos!$AC$6,IF(N27&gt;datos!$AD$7,datos!$AC$7,0))))))</f>
        <v>0.2</v>
      </c>
      <c r="Q27" s="215" t="str">
        <f>+HLOOKUP(A27,'Impacto Riesgo de Corrupción'!$D$8:$AY$29,22,0)</f>
        <v>Mayor</v>
      </c>
      <c r="R27" s="217">
        <f>+IF(Q27="","",VLOOKUP(Q27,datos!$AC$12:$AD$15,2,0))</f>
        <v>0.8</v>
      </c>
      <c r="S27" s="197" t="str">
        <f ca="1">_xlfn.IFERROR(INDIRECT("datos!"&amp;HLOOKUP(Q27,calculo_imp,2,FALSE)&amp;VLOOKUP(O27,calculo_prob,2,FALSE)),"")</f>
        <v>Alto</v>
      </c>
      <c r="T27" s="92">
        <v>1</v>
      </c>
      <c r="U27" s="84" t="s">
        <v>474</v>
      </c>
      <c r="V27" s="83" t="s">
        <v>475</v>
      </c>
      <c r="W27" s="83" t="s">
        <v>476</v>
      </c>
      <c r="X27" s="83" t="s">
        <v>477</v>
      </c>
      <c r="Y27" s="83" t="s">
        <v>478</v>
      </c>
      <c r="Z27" s="83" t="s">
        <v>479</v>
      </c>
      <c r="AA27" s="83" t="s">
        <v>480</v>
      </c>
      <c r="AB27" s="83" t="s">
        <v>480</v>
      </c>
      <c r="AC27" s="83" t="s">
        <v>481</v>
      </c>
      <c r="AD27" s="90" t="str">
        <f>IF(AE27="","",VLOOKUP(AE27,datos!$AT$6:$AU$9,2,0))</f>
        <v>Probabilidad</v>
      </c>
      <c r="AE27" s="84" t="s">
        <v>80</v>
      </c>
      <c r="AF27" s="84" t="s">
        <v>84</v>
      </c>
      <c r="AG27" s="85">
        <f>IF(AND(AE27="",AF27=""),"",IF(AE27="",0,VLOOKUP(AE27,datos!$AP$3:$AR$7,3,0))+IF(AF27="",0,VLOOKUP(AF27,datos!$AP$3:$AR$7,3,0)))</f>
        <v>0.4</v>
      </c>
      <c r="AH27" s="103" t="str">
        <f>IF(OR(AI27="",AI27=0),"",IF(AI27&lt;=datos!$AC$3,datos!$AE$3,IF(AI27&lt;=datos!$AC$4,datos!$AE$4,IF(AI27&lt;=datos!$AC$5,datos!$AE$5,IF(AI27&lt;=datos!$AC$6,datos!$AE$6,IF(AI27&lt;=datos!$AC$7,datos!$AE$7,""))))))</f>
        <v>Muy Baja</v>
      </c>
      <c r="AI27" s="104">
        <f>IF(AD27="","",IF(T27=1,IF(AD27="Probabilidad",P27-(P27*AG27),P27),IF(AD27="Probabilidad",#REF!-(#REF!*AG27),#REF!)))</f>
        <v>0.12</v>
      </c>
      <c r="AJ27" s="105" t="str">
        <f>+IF(AK27&lt;=datos!$AD$11,datos!$AC$11,IF(AK27&lt;=datos!$AD$12,datos!$AC$12,IF(AK27&lt;=datos!$AD$13,datos!$AC$13,IF(AK27&lt;=datos!$AD$14,datos!$AC$14,IF(AK27&lt;=datos!$AD$15,datos!$AC$15,"")))))</f>
        <v>Mayor</v>
      </c>
      <c r="AK27" s="104">
        <f>IF(AD27="","",IF(T27=1,IF(AD27="Impacto",R27-(R27*AG27),R27),IF(AD27="Impacto",#REF!-(#REF!*AG27),#REF!)))</f>
        <v>0.8</v>
      </c>
      <c r="AL27" s="105" t="str">
        <f ca="1" t="shared" si="3"/>
        <v>Alto</v>
      </c>
      <c r="AM27" s="224" t="s">
        <v>92</v>
      </c>
      <c r="AN27" s="226" t="s">
        <v>510</v>
      </c>
      <c r="AO27" s="228">
        <v>44562</v>
      </c>
      <c r="AP27" s="199" t="s">
        <v>511</v>
      </c>
    </row>
    <row r="28" spans="1:42" ht="48.75" thickBot="1">
      <c r="A28" s="220"/>
      <c r="B28" s="188"/>
      <c r="C28" s="188"/>
      <c r="D28" s="186"/>
      <c r="E28" s="188"/>
      <c r="F28" s="188"/>
      <c r="G28" s="188"/>
      <c r="H28" s="188"/>
      <c r="I28" s="188"/>
      <c r="J28" s="188"/>
      <c r="K28" s="190"/>
      <c r="L28" s="192"/>
      <c r="M28" s="196"/>
      <c r="N28" s="194"/>
      <c r="O28" s="222"/>
      <c r="P28" s="218"/>
      <c r="Q28" s="216"/>
      <c r="R28" s="218" t="e">
        <f>IF(OR(#REF!=datos!$AB$10,#REF!=datos!$AB$16),"",VLOOKUP(#REF!,datos!$AA$10:$AC$21,3,0))</f>
        <v>#REF!</v>
      </c>
      <c r="S28" s="198"/>
      <c r="T28" s="93">
        <v>2</v>
      </c>
      <c r="U28" s="80" t="s">
        <v>482</v>
      </c>
      <c r="V28" s="79" t="s">
        <v>483</v>
      </c>
      <c r="W28" s="79" t="s">
        <v>476</v>
      </c>
      <c r="X28" s="79" t="s">
        <v>477</v>
      </c>
      <c r="Y28" s="79" t="s">
        <v>484</v>
      </c>
      <c r="Z28" s="79" t="s">
        <v>485</v>
      </c>
      <c r="AA28" s="79" t="s">
        <v>480</v>
      </c>
      <c r="AB28" s="79" t="s">
        <v>486</v>
      </c>
      <c r="AC28" s="79" t="s">
        <v>481</v>
      </c>
      <c r="AD28" s="89" t="str">
        <f>IF(AE28="","",VLOOKUP(AE28,datos!$AT$6:$AU$9,2,0))</f>
        <v>Probabilidad</v>
      </c>
      <c r="AE28" s="80" t="s">
        <v>80</v>
      </c>
      <c r="AF28" s="80" t="s">
        <v>84</v>
      </c>
      <c r="AG28" s="86">
        <f>IF(AND(AE28="",AF28=""),"",IF(AE28="",0,VLOOKUP(AE28,datos!$AP$3:$AR$7,3,0))+IF(AF28="",0,VLOOKUP(AF28,datos!$AP$3:$AR$7,3,0)))</f>
        <v>0.4</v>
      </c>
      <c r="AH28" s="106" t="str">
        <f>IF(OR(AI28="",AI28=0),"",IF(AI28&lt;=datos!$AC$3,datos!$AE$3,IF(AI28&lt;=datos!$AC$4,datos!$AE$4,IF(AI28&lt;=datos!$AC$5,datos!$AE$5,IF(AI28&lt;=datos!$AC$6,datos!$AE$6,IF(AI28&lt;=datos!$AC$7,datos!$AE$7,""))))))</f>
        <v>Muy Baja</v>
      </c>
      <c r="AI28" s="107">
        <f>IF(AD28="","",IF(T28=1,IF(AD28="Probabilidad",P28-(P28*AG28),P28),IF(AD28="Probabilidad",AI27-(AI27*AG28),AI27)))</f>
        <v>0.072</v>
      </c>
      <c r="AJ28" s="108" t="str">
        <f>+IF(AK28&lt;=datos!$AD$11,datos!$AC$11,IF(AK28&lt;=datos!$AD$12,datos!$AC$12,IF(AK28&lt;=datos!$AD$13,datos!$AC$13,IF(AK28&lt;=datos!$AD$14,datos!$AC$14,IF(AK28&lt;=datos!$AD$15,datos!$AC$15,"")))))</f>
        <v>Mayor</v>
      </c>
      <c r="AK28" s="107">
        <f>IF(AD28="","",IF(T28=1,IF(AD28="Impacto",R28-(R28*AG28),R28),IF(AD28="Impacto",AK27-(AK27*AG28),AK27)))</f>
        <v>0.8</v>
      </c>
      <c r="AL28" s="108" t="str">
        <f ca="1" t="shared" si="3"/>
        <v>Alto</v>
      </c>
      <c r="AM28" s="225"/>
      <c r="AN28" s="227"/>
      <c r="AO28" s="229"/>
      <c r="AP28" s="200"/>
    </row>
    <row r="29" spans="1:42" ht="168.75" thickBot="1">
      <c r="A29" s="141">
        <v>13</v>
      </c>
      <c r="B29" s="84" t="s">
        <v>39</v>
      </c>
      <c r="C29" s="84" t="s">
        <v>250</v>
      </c>
      <c r="D29" s="90" t="str">
        <f>_xlfn.IFERROR(VLOOKUP(B29,datos!$B$1:$C$21,2,0),"")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9" s="82" t="s">
        <v>55</v>
      </c>
      <c r="F29" s="82" t="s">
        <v>465</v>
      </c>
      <c r="G29" s="82" t="s">
        <v>465</v>
      </c>
      <c r="H29" s="84" t="s">
        <v>233</v>
      </c>
      <c r="I29" s="84"/>
      <c r="J29" s="82" t="s">
        <v>466</v>
      </c>
      <c r="K29" s="139" t="s">
        <v>184</v>
      </c>
      <c r="L29" s="140" t="s">
        <v>197</v>
      </c>
      <c r="M29" s="143" t="s">
        <v>12</v>
      </c>
      <c r="N29" s="142">
        <v>246</v>
      </c>
      <c r="O29" s="105" t="str">
        <f>_xlfn.IFERROR(VLOOKUP(P29,datos!$AC$2:$AE$7,3,0),"")</f>
        <v>Media</v>
      </c>
      <c r="P29" s="144">
        <f>+IF(OR(N29="",N29=0),"",IF(N29&lt;=datos!$AD$3,datos!$AC$3,IF(AND(N29&gt;datos!$AD$3,N29&lt;=datos!$AD$4),datos!$AC$4,IF(AND(N29&gt;datos!$AD$4,N29&lt;=datos!$AD$5),datos!$AC$5,IF(AND(N29&gt;datos!$AD$5,N29&lt;=datos!$AD$6),datos!$AC$6,IF(N29&gt;datos!$AD$7,datos!$AC$7,0))))))</f>
        <v>0.6</v>
      </c>
      <c r="Q29" s="145" t="str">
        <f>+HLOOKUP(A29,'Impacto Riesgo de Corrupción'!$D$8:$AY$29,22,0)</f>
        <v>Mayor</v>
      </c>
      <c r="R29" s="144">
        <f>+IF(Q29="","",VLOOKUP(Q29,datos!$AC$12:$AD$15,2,0))</f>
        <v>0.8</v>
      </c>
      <c r="S29" s="134" t="str">
        <f ca="1">_xlfn.IFERROR(INDIRECT("datos!"&amp;HLOOKUP(Q29,calculo_imp,2,FALSE)&amp;VLOOKUP(O29,calculo_prob,2,FALSE)),"")</f>
        <v>Alto</v>
      </c>
      <c r="T29" s="95">
        <v>1</v>
      </c>
      <c r="U29" s="82" t="s">
        <v>487</v>
      </c>
      <c r="V29" s="81" t="s">
        <v>488</v>
      </c>
      <c r="W29" s="81" t="s">
        <v>489</v>
      </c>
      <c r="X29" s="81" t="s">
        <v>490</v>
      </c>
      <c r="Y29" s="81" t="s">
        <v>491</v>
      </c>
      <c r="Z29" s="81" t="s">
        <v>492</v>
      </c>
      <c r="AA29" s="81" t="s">
        <v>493</v>
      </c>
      <c r="AB29" s="81" t="s">
        <v>494</v>
      </c>
      <c r="AC29" s="81" t="s">
        <v>495</v>
      </c>
      <c r="AD29" s="88" t="str">
        <f>IF(AE29="","",VLOOKUP(AE29,datos!$AT$6:$AU$9,2,0))</f>
        <v>Probabilidad</v>
      </c>
      <c r="AE29" s="82" t="s">
        <v>80</v>
      </c>
      <c r="AF29" s="82" t="s">
        <v>84</v>
      </c>
      <c r="AG29" s="87">
        <f>IF(AND(AE29="",AF29=""),"",IF(AE29="",0,VLOOKUP(AE29,datos!$AP$3:$AR$7,3,0))+IF(AF29="",0,VLOOKUP(AF29,datos!$AP$3:$AR$7,3,0)))</f>
        <v>0.4</v>
      </c>
      <c r="AH29" s="112" t="str">
        <f>IF(OR(AI29="",AI29=0),"",IF(AI29&lt;=datos!$AC$3,datos!$AE$3,IF(AI29&lt;=datos!$AC$4,datos!$AE$4,IF(AI29&lt;=datos!$AC$5,datos!$AE$5,IF(AI29&lt;=datos!$AC$6,datos!$AE$6,IF(AI29&lt;=datos!$AC$7,datos!$AE$7,""))))))</f>
        <v>Baja</v>
      </c>
      <c r="AI29" s="109">
        <f>IF(AD29="","",IF(T29=1,IF(AD29="Probabilidad",P29-(P29*AG29),P29),IF(AD29="Probabilidad",#REF!-(#REF!*AG29),#REF!)))</f>
        <v>0.36</v>
      </c>
      <c r="AJ29" s="110" t="str">
        <f>+IF(AK29&lt;=datos!$AD$11,datos!$AC$11,IF(AK29&lt;=datos!$AD$12,datos!$AC$12,IF(AK29&lt;=datos!$AD$13,datos!$AC$13,IF(AK29&lt;=datos!$AD$14,datos!$AC$14,IF(AK29&lt;=datos!$AD$15,datos!$AC$15,"")))))</f>
        <v>Mayor</v>
      </c>
      <c r="AK29" s="109">
        <f>IF(AD29="","",IF(T29=1,IF(AD29="Impacto",R29-(R29*AG29),R29),IF(AD29="Impacto",#REF!-(#REF!*AG29),#REF!)))</f>
        <v>0.8</v>
      </c>
      <c r="AL29" s="110" t="str">
        <f ca="1" t="shared" si="3"/>
        <v>Alto</v>
      </c>
      <c r="AM29" s="147" t="s">
        <v>92</v>
      </c>
      <c r="AN29" s="137" t="s">
        <v>512</v>
      </c>
      <c r="AO29" s="138">
        <v>44440</v>
      </c>
      <c r="AP29" s="136" t="s">
        <v>513</v>
      </c>
    </row>
    <row r="30" spans="1:42" ht="216.75" thickBot="1">
      <c r="A30" s="146">
        <v>14</v>
      </c>
      <c r="B30" s="84" t="s">
        <v>39</v>
      </c>
      <c r="C30" s="84" t="s">
        <v>250</v>
      </c>
      <c r="D30" s="90" t="str">
        <f>_xlfn.IFERROR(VLOOKUP(B30,datos!$B$1:$C$21,2,0),"")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0" s="84" t="s">
        <v>55</v>
      </c>
      <c r="F30" s="84" t="s">
        <v>467</v>
      </c>
      <c r="G30" s="84" t="s">
        <v>468</v>
      </c>
      <c r="H30" s="84" t="s">
        <v>232</v>
      </c>
      <c r="I30" s="84" t="s">
        <v>469</v>
      </c>
      <c r="J30" s="84" t="s">
        <v>470</v>
      </c>
      <c r="K30" s="139" t="s">
        <v>184</v>
      </c>
      <c r="L30" s="133" t="s">
        <v>197</v>
      </c>
      <c r="M30" s="143" t="s">
        <v>275</v>
      </c>
      <c r="N30" s="142">
        <v>246</v>
      </c>
      <c r="O30" s="105" t="str">
        <f>_xlfn.IFERROR(VLOOKUP(P30,datos!$AC$2:$AE$7,3,0),"")</f>
        <v>Media</v>
      </c>
      <c r="P30" s="144">
        <f>+IF(OR(N30="",N30=0),"",IF(N30&lt;=datos!$AD$3,datos!$AC$3,IF(AND(N30&gt;datos!$AD$3,N30&lt;=datos!$AD$4),datos!$AC$4,IF(AND(N30&gt;datos!$AD$4,N30&lt;=datos!$AD$5),datos!$AC$5,IF(AND(N30&gt;datos!$AD$5,N30&lt;=datos!$AD$6),datos!$AC$6,IF(N30&gt;datos!$AD$7,datos!$AC$7,0))))))</f>
        <v>0.6</v>
      </c>
      <c r="Q30" s="145" t="str">
        <f>+HLOOKUP(A30,'Impacto Riesgo de Corrupción'!$D$8:$AY$29,22,0)</f>
        <v>Mayor</v>
      </c>
      <c r="R30" s="144">
        <f>+IF(Q30="","",VLOOKUP(Q30,datos!$AC$12:$AD$15,2,0))</f>
        <v>0.8</v>
      </c>
      <c r="S30" s="134" t="str">
        <f ca="1">_xlfn.IFERROR(INDIRECT("datos!"&amp;HLOOKUP(Q30,calculo_imp,2,FALSE)&amp;VLOOKUP(O30,calculo_prob,2,FALSE)),"")</f>
        <v>Alto</v>
      </c>
      <c r="T30" s="92">
        <v>1</v>
      </c>
      <c r="U30" s="84" t="s">
        <v>496</v>
      </c>
      <c r="V30" s="83" t="s">
        <v>497</v>
      </c>
      <c r="W30" s="83" t="s">
        <v>498</v>
      </c>
      <c r="X30" s="83" t="s">
        <v>499</v>
      </c>
      <c r="Y30" s="83" t="s">
        <v>500</v>
      </c>
      <c r="Z30" s="83" t="s">
        <v>501</v>
      </c>
      <c r="AA30" s="83" t="s">
        <v>502</v>
      </c>
      <c r="AB30" s="83" t="s">
        <v>502</v>
      </c>
      <c r="AC30" s="83" t="s">
        <v>503</v>
      </c>
      <c r="AD30" s="90" t="str">
        <f>IF(AE30="","",VLOOKUP(AE30,datos!$AT$6:$AU$9,2,0))</f>
        <v>Probabilidad</v>
      </c>
      <c r="AE30" s="84" t="s">
        <v>80</v>
      </c>
      <c r="AF30" s="84" t="s">
        <v>84</v>
      </c>
      <c r="AG30" s="85">
        <f>IF(AND(AE30="",AF30=""),"",IF(AE30="",0,VLOOKUP(AE30,datos!$AP$3:$AR$7,3,0))+IF(AF30="",0,VLOOKUP(AF30,datos!$AP$3:$AR$7,3,0)))</f>
        <v>0.4</v>
      </c>
      <c r="AH30" s="103" t="str">
        <f>IF(OR(AI30="",AI30=0),"",IF(AI30&lt;=datos!$AC$3,datos!$AE$3,IF(AI30&lt;=datos!$AC$4,datos!$AE$4,IF(AI30&lt;=datos!$AC$5,datos!$AE$5,IF(AI30&lt;=datos!$AC$6,datos!$AE$6,IF(AI30&lt;=datos!$AC$7,datos!$AE$7,""))))))</f>
        <v>Baja</v>
      </c>
      <c r="AI30" s="104">
        <f>IF(AD30="","",IF(T30=1,IF(AD30="Probabilidad",P30-(P30*AG30),P30),IF(AD30="Probabilidad",#REF!-(#REF!*AG30),#REF!)))</f>
        <v>0.36</v>
      </c>
      <c r="AJ30" s="105" t="str">
        <f>+IF(AK30&lt;=datos!$AD$11,datos!$AC$11,IF(AK30&lt;=datos!$AD$12,datos!$AC$12,IF(AK30&lt;=datos!$AD$13,datos!$AC$13,IF(AK30&lt;=datos!$AD$14,datos!$AC$14,IF(AK30&lt;=datos!$AD$15,datos!$AC$15,"")))))</f>
        <v>Mayor</v>
      </c>
      <c r="AK30" s="104">
        <f>IF(AD30="","",IF(T30=1,IF(AD30="Impacto",R30-(R30*AG30),R30),IF(AD30="Impacto",#REF!-(#REF!*AG30),#REF!)))</f>
        <v>0.8</v>
      </c>
      <c r="AL30" s="105" t="str">
        <f ca="1" t="shared" si="3"/>
        <v>Alto</v>
      </c>
      <c r="AM30" s="147" t="s">
        <v>92</v>
      </c>
      <c r="AN30" s="137" t="s">
        <v>514</v>
      </c>
      <c r="AO30" s="138">
        <v>44713</v>
      </c>
      <c r="AP30" s="135" t="s">
        <v>515</v>
      </c>
    </row>
    <row r="31" spans="1:42" ht="168.75" thickBot="1">
      <c r="A31" s="146">
        <v>15</v>
      </c>
      <c r="B31" s="84" t="s">
        <v>39</v>
      </c>
      <c r="C31" s="84" t="s">
        <v>250</v>
      </c>
      <c r="D31" s="90" t="str">
        <f>_xlfn.IFERROR(VLOOKUP(B31,datos!$B$1:$C$21,2,0),"")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1" s="84" t="s">
        <v>55</v>
      </c>
      <c r="F31" s="84" t="s">
        <v>471</v>
      </c>
      <c r="G31" s="84" t="s">
        <v>472</v>
      </c>
      <c r="H31" s="84" t="s">
        <v>232</v>
      </c>
      <c r="I31" s="84" t="s">
        <v>469</v>
      </c>
      <c r="J31" s="84" t="s">
        <v>473</v>
      </c>
      <c r="K31" s="139" t="s">
        <v>184</v>
      </c>
      <c r="L31" s="133" t="s">
        <v>197</v>
      </c>
      <c r="M31" s="143" t="s">
        <v>275</v>
      </c>
      <c r="N31" s="142">
        <v>246</v>
      </c>
      <c r="O31" s="105" t="str">
        <f>_xlfn.IFERROR(VLOOKUP(P31,datos!$AC$2:$AE$7,3,0),"")</f>
        <v>Media</v>
      </c>
      <c r="P31" s="144">
        <f>+IF(OR(N31="",N31=0),"",IF(N31&lt;=datos!$AD$3,datos!$AC$3,IF(AND(N31&gt;datos!$AD$3,N31&lt;=datos!$AD$4),datos!$AC$4,IF(AND(N31&gt;datos!$AD$4,N31&lt;=datos!$AD$5),datos!$AC$5,IF(AND(N31&gt;datos!$AD$5,N31&lt;=datos!$AD$6),datos!$AC$6,IF(N31&gt;datos!$AD$7,datos!$AC$7,0))))))</f>
        <v>0.6</v>
      </c>
      <c r="Q31" s="145" t="str">
        <f>+HLOOKUP(A31,'Impacto Riesgo de Corrupción'!$D$8:$AY$29,22,0)</f>
        <v>Mayor</v>
      </c>
      <c r="R31" s="144">
        <f>+IF(Q31="","",VLOOKUP(Q31,datos!$AC$12:$AD$15,2,0))</f>
        <v>0.8</v>
      </c>
      <c r="S31" s="134" t="str">
        <f ca="1">_xlfn.IFERROR(INDIRECT("datos!"&amp;HLOOKUP(Q31,calculo_imp,2,FALSE)&amp;VLOOKUP(O31,calculo_prob,2,FALSE)),"")</f>
        <v>Alto</v>
      </c>
      <c r="T31" s="92">
        <v>1</v>
      </c>
      <c r="U31" s="84" t="s">
        <v>504</v>
      </c>
      <c r="V31" s="83" t="s">
        <v>497</v>
      </c>
      <c r="W31" s="83" t="s">
        <v>505</v>
      </c>
      <c r="X31" s="83" t="s">
        <v>506</v>
      </c>
      <c r="Y31" s="83" t="s">
        <v>507</v>
      </c>
      <c r="Z31" s="83" t="s">
        <v>508</v>
      </c>
      <c r="AA31" s="83" t="s">
        <v>509</v>
      </c>
      <c r="AB31" s="83" t="s">
        <v>509</v>
      </c>
      <c r="AC31" s="83" t="s">
        <v>503</v>
      </c>
      <c r="AD31" s="90" t="str">
        <f>IF(AE31="","",VLOOKUP(AE31,datos!$AT$6:$AU$9,2,0))</f>
        <v>Probabilidad</v>
      </c>
      <c r="AE31" s="84" t="s">
        <v>80</v>
      </c>
      <c r="AF31" s="84" t="s">
        <v>84</v>
      </c>
      <c r="AG31" s="85">
        <f>IF(AND(AE31="",AF31=""),"",IF(AE31="",0,VLOOKUP(AE31,datos!$AP$3:$AR$7,3,0))+IF(AF31="",0,VLOOKUP(AF31,datos!$AP$3:$AR$7,3,0)))</f>
        <v>0.4</v>
      </c>
      <c r="AH31" s="103" t="str">
        <f>IF(OR(AI31="",AI31=0),"",IF(AI31&lt;=datos!$AC$3,datos!$AE$3,IF(AI31&lt;=datos!$AC$4,datos!$AE$4,IF(AI31&lt;=datos!$AC$5,datos!$AE$5,IF(AI31&lt;=datos!$AC$6,datos!$AE$6,IF(AI31&lt;=datos!$AC$7,datos!$AE$7,""))))))</f>
        <v>Baja</v>
      </c>
      <c r="AI31" s="104">
        <f>IF(AD31="","",IF(T31=1,IF(AD31="Probabilidad",P31-(P31*AG31),P31),IF(AD31="Probabilidad",#REF!-(#REF!*AG31),#REF!)))</f>
        <v>0.36</v>
      </c>
      <c r="AJ31" s="105" t="str">
        <f>+IF(AK31&lt;=datos!$AD$11,datos!$AC$11,IF(AK31&lt;=datos!$AD$12,datos!$AC$12,IF(AK31&lt;=datos!$AD$13,datos!$AC$13,IF(AK31&lt;=datos!$AD$14,datos!$AC$14,IF(AK31&lt;=datos!$AD$15,datos!$AC$15,"")))))</f>
        <v>Mayor</v>
      </c>
      <c r="AK31" s="104">
        <f>IF(AD31="","",IF(T31=1,IF(AD31="Impacto",R31-(R31*AG31),R31),IF(AD31="Impacto",#REF!-(#REF!*AG31),#REF!)))</f>
        <v>0.8</v>
      </c>
      <c r="AL31" s="105" t="str">
        <f ca="1" t="shared" si="3"/>
        <v>Alto</v>
      </c>
      <c r="AM31" s="147" t="s">
        <v>92</v>
      </c>
      <c r="AN31" s="137" t="s">
        <v>514</v>
      </c>
      <c r="AO31" s="138">
        <v>44713</v>
      </c>
      <c r="AP31" s="135" t="s">
        <v>515</v>
      </c>
    </row>
    <row r="32" spans="1:42" ht="288">
      <c r="A32" s="219">
        <v>16</v>
      </c>
      <c r="B32" s="187" t="s">
        <v>38</v>
      </c>
      <c r="C32" s="187" t="s">
        <v>247</v>
      </c>
      <c r="D32" s="185" t="str">
        <f>_xlfn.IFERROR(VLOOKUP(B32,datos!$B$1:$C$21,2,0),"")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2" s="187" t="s">
        <v>55</v>
      </c>
      <c r="F32" s="187" t="s">
        <v>516</v>
      </c>
      <c r="G32" s="187" t="s">
        <v>517</v>
      </c>
      <c r="H32" s="187" t="s">
        <v>233</v>
      </c>
      <c r="I32" s="187"/>
      <c r="J32" s="187" t="s">
        <v>518</v>
      </c>
      <c r="K32" s="189" t="s">
        <v>184</v>
      </c>
      <c r="L32" s="191" t="s">
        <v>57</v>
      </c>
      <c r="M32" s="195" t="s">
        <v>275</v>
      </c>
      <c r="N32" s="193">
        <v>365</v>
      </c>
      <c r="O32" s="221" t="str">
        <f>_xlfn.IFERROR(VLOOKUP(P32,datos!$AC$2:$AE$7,3,0),"")</f>
        <v>Media</v>
      </c>
      <c r="P32" s="217">
        <f>+IF(OR(N32="",N32=0),"",IF(N32&lt;=datos!$AD$3,datos!$AC$3,IF(AND(N32&gt;datos!$AD$3,N32&lt;=datos!$AD$4),datos!$AC$4,IF(AND(N32&gt;datos!$AD$4,N32&lt;=datos!$AD$5),datos!$AC$5,IF(AND(N32&gt;datos!$AD$5,N32&lt;=datos!$AD$6),datos!$AC$6,IF(N32&gt;datos!$AD$7,datos!$AC$7,0))))))</f>
        <v>0.6</v>
      </c>
      <c r="Q32" s="215" t="str">
        <f>+HLOOKUP(A32,'Impacto Riesgo de Corrupción'!$D$8:$AY$29,22,0)</f>
        <v>Catastrófico</v>
      </c>
      <c r="R32" s="217">
        <f>+IF(Q32="","",VLOOKUP(Q32,datos!$AC$12:$AD$15,2,0))</f>
        <v>1</v>
      </c>
      <c r="S32" s="197" t="str">
        <f ca="1">_xlfn.IFERROR(INDIRECT("datos!"&amp;HLOOKUP(Q32,calculo_imp,2,FALSE)&amp;VLOOKUP(O32,calculo_prob,2,FALSE)),"")</f>
        <v>Extremo</v>
      </c>
      <c r="T32" s="92">
        <v>1</v>
      </c>
      <c r="U32" s="84" t="s">
        <v>519</v>
      </c>
      <c r="V32" s="83" t="s">
        <v>520</v>
      </c>
      <c r="W32" s="83" t="s">
        <v>521</v>
      </c>
      <c r="X32" s="83" t="s">
        <v>522</v>
      </c>
      <c r="Y32" s="83" t="s">
        <v>523</v>
      </c>
      <c r="Z32" s="83" t="s">
        <v>524</v>
      </c>
      <c r="AA32" s="83" t="s">
        <v>525</v>
      </c>
      <c r="AB32" s="83" t="s">
        <v>526</v>
      </c>
      <c r="AC32" s="83" t="s">
        <v>527</v>
      </c>
      <c r="AD32" s="90" t="str">
        <f>IF(AE32="","",VLOOKUP(AE32,datos!$AT$6:$AU$9,2,0))</f>
        <v>Probabilidad</v>
      </c>
      <c r="AE32" s="84" t="s">
        <v>80</v>
      </c>
      <c r="AF32" s="84" t="s">
        <v>84</v>
      </c>
      <c r="AG32" s="85">
        <f>IF(AND(AE32="",AF32=""),"",IF(AE32="",0,VLOOKUP(AE32,datos!$AP$3:$AR$7,3,0))+IF(AF32="",0,VLOOKUP(AF32,datos!$AP$3:$AR$7,3,0)))</f>
        <v>0.4</v>
      </c>
      <c r="AH32" s="103" t="str">
        <f>IF(OR(AI32="",AI32=0),"",IF(AI32&lt;=datos!$AC$3,datos!$AE$3,IF(AI32&lt;=datos!$AC$4,datos!$AE$4,IF(AI32&lt;=datos!$AC$5,datos!$AE$5,IF(AI32&lt;=datos!$AC$6,datos!$AE$6,IF(AI32&lt;=datos!$AC$7,datos!$AE$7,""))))))</f>
        <v>Baja</v>
      </c>
      <c r="AI32" s="104">
        <f>IF(AD32="","",IF(T32=1,IF(AD32="Probabilidad",P32-(P32*AG32),P32),IF(AD32="Probabilidad",#REF!-(#REF!*AG32),#REF!)))</f>
        <v>0.36</v>
      </c>
      <c r="AJ32" s="105" t="str">
        <f>+IF(AK32&lt;=datos!$AD$11,datos!$AC$11,IF(AK32&lt;=datos!$AD$12,datos!$AC$12,IF(AK32&lt;=datos!$AD$13,datos!$AC$13,IF(AK32&lt;=datos!$AD$14,datos!$AC$14,IF(AK32&lt;=datos!$AD$15,datos!$AC$15,"")))))</f>
        <v>Catastrófico</v>
      </c>
      <c r="AK32" s="104">
        <f>IF(AD32="","",IF(T32=1,IF(AD32="Impacto",R32-(R32*AG32),R32),IF(AD32="Impacto",#REF!-(#REF!*AG32),#REF!)))</f>
        <v>1</v>
      </c>
      <c r="AL32" s="105" t="str">
        <f ca="1" t="shared" si="3"/>
        <v>Extremo</v>
      </c>
      <c r="AM32" s="224" t="s">
        <v>92</v>
      </c>
      <c r="AN32" s="226" t="s">
        <v>543</v>
      </c>
      <c r="AO32" s="228"/>
      <c r="AP32" s="199" t="s">
        <v>544</v>
      </c>
    </row>
    <row r="33" spans="1:42" ht="180">
      <c r="A33" s="220"/>
      <c r="B33" s="188"/>
      <c r="C33" s="188"/>
      <c r="D33" s="186"/>
      <c r="E33" s="188"/>
      <c r="F33" s="188"/>
      <c r="G33" s="188"/>
      <c r="H33" s="188"/>
      <c r="I33" s="188"/>
      <c r="J33" s="188"/>
      <c r="K33" s="190"/>
      <c r="L33" s="192"/>
      <c r="M33" s="196"/>
      <c r="N33" s="194"/>
      <c r="O33" s="222"/>
      <c r="P33" s="218"/>
      <c r="Q33" s="216"/>
      <c r="R33" s="218" t="e">
        <f>IF(OR(#REF!=datos!$AB$10,#REF!=datos!$AB$16),"",VLOOKUP(#REF!,datos!$AA$10:$AC$21,3,0))</f>
        <v>#REF!</v>
      </c>
      <c r="S33" s="198"/>
      <c r="T33" s="93">
        <v>2</v>
      </c>
      <c r="U33" s="80" t="s">
        <v>528</v>
      </c>
      <c r="V33" s="79" t="s">
        <v>520</v>
      </c>
      <c r="W33" s="79" t="s">
        <v>529</v>
      </c>
      <c r="X33" s="79" t="s">
        <v>530</v>
      </c>
      <c r="Y33" s="79" t="s">
        <v>531</v>
      </c>
      <c r="Z33" s="79" t="s">
        <v>532</v>
      </c>
      <c r="AA33" s="79" t="s">
        <v>533</v>
      </c>
      <c r="AB33" s="79" t="s">
        <v>526</v>
      </c>
      <c r="AC33" s="79" t="s">
        <v>534</v>
      </c>
      <c r="AD33" s="89" t="str">
        <f>IF(AE33="","",VLOOKUP(AE33,datos!$AT$6:$AU$9,2,0))</f>
        <v>Probabilidad</v>
      </c>
      <c r="AE33" s="80" t="s">
        <v>80</v>
      </c>
      <c r="AF33" s="80" t="s">
        <v>84</v>
      </c>
      <c r="AG33" s="86">
        <f>IF(AND(AE33="",AF33=""),"",IF(AE33="",0,VLOOKUP(AE33,datos!$AP$3:$AR$7,3,0))+IF(AF33="",0,VLOOKUP(AF33,datos!$AP$3:$AR$7,3,0)))</f>
        <v>0.4</v>
      </c>
      <c r="AH33" s="106" t="str">
        <f>IF(OR(AI33="",AI33=0),"",IF(AI33&lt;=datos!$AC$3,datos!$AE$3,IF(AI33&lt;=datos!$AC$4,datos!$AE$4,IF(AI33&lt;=datos!$AC$5,datos!$AE$5,IF(AI33&lt;=datos!$AC$6,datos!$AE$6,IF(AI33&lt;=datos!$AC$7,datos!$AE$7,""))))))</f>
        <v>Baja</v>
      </c>
      <c r="AI33" s="107">
        <f>IF(AD33="","",IF(T33=1,IF(AD33="Probabilidad",P33-(P33*AG33),P33),IF(AD33="Probabilidad",AI32-(AI32*AG33),AI32)))</f>
        <v>0.216</v>
      </c>
      <c r="AJ33" s="108" t="str">
        <f>+IF(AK33&lt;=datos!$AD$11,datos!$AC$11,IF(AK33&lt;=datos!$AD$12,datos!$AC$12,IF(AK33&lt;=datos!$AD$13,datos!$AC$13,IF(AK33&lt;=datos!$AD$14,datos!$AC$14,IF(AK33&lt;=datos!$AD$15,datos!$AC$15,"")))))</f>
        <v>Catastrófico</v>
      </c>
      <c r="AK33" s="107">
        <f>IF(AD33="","",IF(T33=1,IF(AD33="Impacto",R33-(R33*AG33),R33),IF(AD33="Impacto",AK32-(AK32*AG33),AK32)))</f>
        <v>1</v>
      </c>
      <c r="AL33" s="108" t="str">
        <f ca="1" t="shared" si="3"/>
        <v>Extremo</v>
      </c>
      <c r="AM33" s="225"/>
      <c r="AN33" s="227"/>
      <c r="AO33" s="229"/>
      <c r="AP33" s="200"/>
    </row>
    <row r="34" spans="1:42" ht="228.75" thickBot="1">
      <c r="A34" s="220"/>
      <c r="B34" s="188"/>
      <c r="C34" s="188"/>
      <c r="D34" s="186"/>
      <c r="E34" s="188"/>
      <c r="F34" s="188"/>
      <c r="G34" s="188"/>
      <c r="H34" s="188"/>
      <c r="I34" s="188"/>
      <c r="J34" s="188"/>
      <c r="K34" s="190"/>
      <c r="L34" s="192"/>
      <c r="M34" s="196"/>
      <c r="N34" s="194"/>
      <c r="O34" s="222"/>
      <c r="P34" s="218"/>
      <c r="Q34" s="216"/>
      <c r="R34" s="218" t="e">
        <f>IF(OR(#REF!=datos!$AB$10,#REF!=datos!$AB$16),"",VLOOKUP(#REF!,datos!$AA$10:$AC$21,3,0))</f>
        <v>#REF!</v>
      </c>
      <c r="S34" s="198"/>
      <c r="T34" s="93">
        <v>3</v>
      </c>
      <c r="U34" s="80" t="s">
        <v>535</v>
      </c>
      <c r="V34" s="79" t="s">
        <v>536</v>
      </c>
      <c r="W34" s="79" t="s">
        <v>537</v>
      </c>
      <c r="X34" s="79" t="s">
        <v>538</v>
      </c>
      <c r="Y34" s="79" t="s">
        <v>539</v>
      </c>
      <c r="Z34" s="79" t="s">
        <v>540</v>
      </c>
      <c r="AA34" s="79" t="s">
        <v>541</v>
      </c>
      <c r="AB34" s="79" t="s">
        <v>526</v>
      </c>
      <c r="AC34" s="79" t="s">
        <v>542</v>
      </c>
      <c r="AD34" s="89" t="str">
        <f>IF(AE34="","",VLOOKUP(AE34,datos!$AT$6:$AU$9,2,0))</f>
        <v>Probabilidad</v>
      </c>
      <c r="AE34" s="80" t="s">
        <v>80</v>
      </c>
      <c r="AF34" s="80" t="s">
        <v>83</v>
      </c>
      <c r="AG34" s="86">
        <f>IF(AND(AE34="",AF34=""),"",IF(AE34="",0,VLOOKUP(AE34,datos!$AP$3:$AR$7,3,0))+IF(AF34="",0,VLOOKUP(AF34,datos!$AP$3:$AR$7,3,0)))</f>
        <v>0.5</v>
      </c>
      <c r="AH34" s="106" t="str">
        <f>IF(OR(AI34="",AI34=0),"",IF(AI34&lt;=datos!$AC$3,datos!$AE$3,IF(AI34&lt;=datos!$AC$4,datos!$AE$4,IF(AI34&lt;=datos!$AC$5,datos!$AE$5,IF(AI34&lt;=datos!$AC$6,datos!$AE$6,IF(AI34&lt;=datos!$AC$7,datos!$AE$7,""))))))</f>
        <v>Muy Baja</v>
      </c>
      <c r="AI34" s="107">
        <f>IF(AD34="","",IF(T34=1,IF(AD34="Probabilidad",P34-(P34*AG34),P34),IF(AD34="Probabilidad",AI33-(AI33*AG34),AI33)))</f>
        <v>0.108</v>
      </c>
      <c r="AJ34" s="108" t="str">
        <f>+IF(AK34&lt;=datos!$AD$11,datos!$AC$11,IF(AK34&lt;=datos!$AD$12,datos!$AC$12,IF(AK34&lt;=datos!$AD$13,datos!$AC$13,IF(AK34&lt;=datos!$AD$14,datos!$AC$14,IF(AK34&lt;=datos!$AD$15,datos!$AC$15,"")))))</f>
        <v>Catastrófico</v>
      </c>
      <c r="AK34" s="107">
        <f>IF(AD34="","",IF(T34=1,IF(AD34="Impacto",R34-(R34*AG34),R34),IF(AD34="Impacto",AK33-(AK33*AG34),AK33)))</f>
        <v>1</v>
      </c>
      <c r="AL34" s="108" t="str">
        <f ca="1" t="shared" si="3"/>
        <v>Extremo</v>
      </c>
      <c r="AM34" s="225"/>
      <c r="AN34" s="227"/>
      <c r="AO34" s="229"/>
      <c r="AP34" s="200"/>
    </row>
    <row r="35" spans="1:42" ht="48">
      <c r="A35" s="230">
        <v>17</v>
      </c>
      <c r="B35" s="231" t="s">
        <v>41</v>
      </c>
      <c r="C35" s="187" t="s">
        <v>250</v>
      </c>
      <c r="D35" s="185" t="str">
        <f>_xlfn.IFERROR(VLOOKUP(B35,datos!$B$1:$C$21,2,0),"")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5" s="231" t="s">
        <v>54</v>
      </c>
      <c r="F35" s="231" t="s">
        <v>545</v>
      </c>
      <c r="G35" s="231" t="s">
        <v>546</v>
      </c>
      <c r="H35" s="187" t="s">
        <v>233</v>
      </c>
      <c r="I35" s="187"/>
      <c r="J35" s="231" t="s">
        <v>547</v>
      </c>
      <c r="K35" s="189" t="s">
        <v>184</v>
      </c>
      <c r="L35" s="232" t="s">
        <v>59</v>
      </c>
      <c r="M35" s="195" t="s">
        <v>275</v>
      </c>
      <c r="N35" s="193">
        <v>240</v>
      </c>
      <c r="O35" s="221" t="str">
        <f>_xlfn.IFERROR(VLOOKUP(P35,datos!$AC$2:$AE$7,3,0),"")</f>
        <v>Media</v>
      </c>
      <c r="P35" s="217">
        <f>+IF(OR(N35="",N35=0),"",IF(N35&lt;=datos!$AD$3,datos!$AC$3,IF(AND(N35&gt;datos!$AD$3,N35&lt;=datos!$AD$4),datos!$AC$4,IF(AND(N35&gt;datos!$AD$4,N35&lt;=datos!$AD$5),datos!$AC$5,IF(AND(N35&gt;datos!$AD$5,N35&lt;=datos!$AD$6),datos!$AC$6,IF(N35&gt;datos!$AD$7,datos!$AC$7,0))))))</f>
        <v>0.6</v>
      </c>
      <c r="Q35" s="215" t="str">
        <f>+HLOOKUP(A35,'Impacto Riesgo de Corrupción'!$D$8:$AY$29,22,0)</f>
        <v>Mayor</v>
      </c>
      <c r="R35" s="217">
        <f>+IF(Q35="","",VLOOKUP(Q35,datos!$AC$12:$AD$15,2,0))</f>
        <v>0.8</v>
      </c>
      <c r="S35" s="197" t="str">
        <f ca="1">_xlfn.IFERROR(INDIRECT("datos!"&amp;HLOOKUP(Q35,calculo_imp,2,FALSE)&amp;VLOOKUP(O35,calculo_prob,2,FALSE)),"")</f>
        <v>Alto</v>
      </c>
      <c r="T35" s="95">
        <v>1</v>
      </c>
      <c r="U35" s="82" t="s">
        <v>548</v>
      </c>
      <c r="V35" s="81" t="s">
        <v>549</v>
      </c>
      <c r="W35" s="81" t="s">
        <v>550</v>
      </c>
      <c r="X35" s="81" t="s">
        <v>551</v>
      </c>
      <c r="Y35" s="81" t="s">
        <v>552</v>
      </c>
      <c r="Z35" s="81" t="s">
        <v>553</v>
      </c>
      <c r="AA35" s="81" t="s">
        <v>554</v>
      </c>
      <c r="AB35" s="81" t="s">
        <v>554</v>
      </c>
      <c r="AC35" s="81" t="s">
        <v>555</v>
      </c>
      <c r="AD35" s="88" t="str">
        <f>IF(AE35="","",VLOOKUP(AE35,datos!$AT$6:$AU$9,2,0))</f>
        <v>Probabilidad</v>
      </c>
      <c r="AE35" s="82" t="s">
        <v>81</v>
      </c>
      <c r="AF35" s="82" t="s">
        <v>84</v>
      </c>
      <c r="AG35" s="87">
        <f>IF(AND(AE35="",AF35=""),"",IF(AE35="",0,VLOOKUP(AE35,datos!$AP$3:$AR$7,3,0))+IF(AF35="",0,VLOOKUP(AF35,datos!$AP$3:$AR$7,3,0)))</f>
        <v>0.3</v>
      </c>
      <c r="AH35" s="112" t="str">
        <f>IF(OR(AI35="",AI35=0),"",IF(AI35&lt;=datos!$AC$3,datos!$AE$3,IF(AI35&lt;=datos!$AC$4,datos!$AE$4,IF(AI35&lt;=datos!$AC$5,datos!$AE$5,IF(AI35&lt;=datos!$AC$6,datos!$AE$6,IF(AI35&lt;=datos!$AC$7,datos!$AE$7,""))))))</f>
        <v>Media</v>
      </c>
      <c r="AI35" s="109">
        <f>IF(AD35="","",IF(T35=1,IF(AD35="Probabilidad",P35-(P35*AG35),P35),IF(AD35="Probabilidad",#REF!-(#REF!*AG35),#REF!)))</f>
        <v>0.42</v>
      </c>
      <c r="AJ35" s="110" t="str">
        <f>+IF(AK35&lt;=datos!$AD$11,datos!$AC$11,IF(AK35&lt;=datos!$AD$12,datos!$AC$12,IF(AK35&lt;=datos!$AD$13,datos!$AC$13,IF(AK35&lt;=datos!$AD$14,datos!$AC$14,IF(AK35&lt;=datos!$AD$15,datos!$AC$15,"")))))</f>
        <v>Mayor</v>
      </c>
      <c r="AK35" s="109">
        <f>IF(AD35="","",IF(T35=1,IF(AD35="Impacto",R35-(R35*AG35),R35),IF(AD35="Impacto",#REF!-(#REF!*AG35),#REF!)))</f>
        <v>0.8</v>
      </c>
      <c r="AL35" s="110" t="str">
        <f ca="1" t="shared" si="3"/>
        <v>Alto</v>
      </c>
      <c r="AM35" s="224" t="s">
        <v>92</v>
      </c>
      <c r="AN35" s="226" t="s">
        <v>560</v>
      </c>
      <c r="AO35" s="228" t="s">
        <v>561</v>
      </c>
      <c r="AP35" s="200" t="s">
        <v>562</v>
      </c>
    </row>
    <row r="36" spans="1:42" ht="48.75" thickBot="1">
      <c r="A36" s="220"/>
      <c r="B36" s="188"/>
      <c r="C36" s="188"/>
      <c r="D36" s="186"/>
      <c r="E36" s="188"/>
      <c r="F36" s="188"/>
      <c r="G36" s="188"/>
      <c r="H36" s="188"/>
      <c r="I36" s="188"/>
      <c r="J36" s="188"/>
      <c r="K36" s="190"/>
      <c r="L36" s="192"/>
      <c r="M36" s="196"/>
      <c r="N36" s="194"/>
      <c r="O36" s="222"/>
      <c r="P36" s="218"/>
      <c r="Q36" s="216"/>
      <c r="R36" s="218" t="e">
        <f>IF(OR(#REF!=datos!$AB$10,#REF!=datos!$AB$16),"",VLOOKUP(#REF!,datos!$AA$10:$AC$21,3,0))</f>
        <v>#REF!</v>
      </c>
      <c r="S36" s="198"/>
      <c r="T36" s="93">
        <v>2</v>
      </c>
      <c r="U36" s="80" t="s">
        <v>556</v>
      </c>
      <c r="V36" s="79" t="s">
        <v>549</v>
      </c>
      <c r="W36" s="79" t="s">
        <v>550</v>
      </c>
      <c r="X36" s="79" t="s">
        <v>557</v>
      </c>
      <c r="Y36" s="79" t="s">
        <v>558</v>
      </c>
      <c r="Z36" s="79"/>
      <c r="AA36" s="79" t="s">
        <v>559</v>
      </c>
      <c r="AB36" s="79" t="s">
        <v>559</v>
      </c>
      <c r="AC36" s="79" t="s">
        <v>555</v>
      </c>
      <c r="AD36" s="89" t="str">
        <f>IF(AE36="","",VLOOKUP(AE36,datos!$AT$6:$AU$9,2,0))</f>
        <v>Probabilidad</v>
      </c>
      <c r="AE36" s="80" t="s">
        <v>80</v>
      </c>
      <c r="AF36" s="80" t="s">
        <v>84</v>
      </c>
      <c r="AG36" s="86">
        <f>IF(AND(AE36="",AF36=""),"",IF(AE36="",0,VLOOKUP(AE36,datos!$AP$3:$AR$7,3,0))+IF(AF36="",0,VLOOKUP(AF36,datos!$AP$3:$AR$7,3,0)))</f>
        <v>0.4</v>
      </c>
      <c r="AH36" s="106" t="str">
        <f>IF(OR(AI36="",AI36=0),"",IF(AI36&lt;=datos!$AC$3,datos!$AE$3,IF(AI36&lt;=datos!$AC$4,datos!$AE$4,IF(AI36&lt;=datos!$AC$5,datos!$AE$5,IF(AI36&lt;=datos!$AC$6,datos!$AE$6,IF(AI36&lt;=datos!$AC$7,datos!$AE$7,""))))))</f>
        <v>Baja</v>
      </c>
      <c r="AI36" s="107">
        <f>IF(AD36="","",IF(T36=1,IF(AD36="Probabilidad",P36-(P36*AG36),P36),IF(AD36="Probabilidad",AI35-(AI35*AG36),AI35)))</f>
        <v>0.252</v>
      </c>
      <c r="AJ36" s="108" t="str">
        <f>+IF(AK36&lt;=datos!$AD$11,datos!$AC$11,IF(AK36&lt;=datos!$AD$12,datos!$AC$12,IF(AK36&lt;=datos!$AD$13,datos!$AC$13,IF(AK36&lt;=datos!$AD$14,datos!$AC$14,IF(AK36&lt;=datos!$AD$15,datos!$AC$15,"")))))</f>
        <v>Mayor</v>
      </c>
      <c r="AK36" s="107">
        <f>IF(AD36="","",IF(T36=1,IF(AD36="Impacto",R36-(R36*AG36),R36),IF(AD36="Impacto",AK35-(AK35*AG36),AK35)))</f>
        <v>0.8</v>
      </c>
      <c r="AL36" s="108" t="str">
        <f ca="1" t="shared" si="3"/>
        <v>Alto</v>
      </c>
      <c r="AM36" s="225"/>
      <c r="AN36" s="227"/>
      <c r="AO36" s="229"/>
      <c r="AP36" s="200"/>
    </row>
    <row r="37" spans="1:42" ht="180.75" thickBot="1">
      <c r="A37" s="146">
        <v>18</v>
      </c>
      <c r="B37" s="84" t="s">
        <v>42</v>
      </c>
      <c r="C37" s="84" t="s">
        <v>249</v>
      </c>
      <c r="D37" s="90" t="str">
        <f>_xlfn.IFERROR(VLOOKUP(B37,datos!$B$1:$C$21,2,0),"")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7" s="84" t="s">
        <v>55</v>
      </c>
      <c r="F37" s="84" t="s">
        <v>563</v>
      </c>
      <c r="G37" s="84" t="s">
        <v>564</v>
      </c>
      <c r="H37" s="84" t="s">
        <v>233</v>
      </c>
      <c r="I37" s="84" t="s">
        <v>565</v>
      </c>
      <c r="J37" s="84" t="s">
        <v>566</v>
      </c>
      <c r="K37" s="139" t="s">
        <v>184</v>
      </c>
      <c r="L37" s="133" t="s">
        <v>57</v>
      </c>
      <c r="M37" s="143" t="s">
        <v>275</v>
      </c>
      <c r="N37" s="142">
        <v>97755</v>
      </c>
      <c r="O37" s="105" t="str">
        <f>_xlfn.IFERROR(VLOOKUP(P37,datos!$AC$2:$AE$7,3,0),"")</f>
        <v>Muy Alta</v>
      </c>
      <c r="P37" s="144">
        <f>+IF(OR(N37="",N37=0),"",IF(N37&lt;=datos!$AD$3,datos!$AC$3,IF(AND(N37&gt;datos!$AD$3,N37&lt;=datos!$AD$4),datos!$AC$4,IF(AND(N37&gt;datos!$AD$4,N37&lt;=datos!$AD$5),datos!$AC$5,IF(AND(N37&gt;datos!$AD$5,N37&lt;=datos!$AD$6),datos!$AC$6,IF(N37&gt;datos!$AD$7,datos!$AC$7,0))))))</f>
        <v>1</v>
      </c>
      <c r="Q37" s="145" t="str">
        <f>+HLOOKUP(A37,'Impacto Riesgo de Corrupción'!$D$8:$AY$29,22,0)</f>
        <v>Catastrófico</v>
      </c>
      <c r="R37" s="144">
        <f>+IF(Q37="","",VLOOKUP(Q37,datos!$AC$12:$AD$15,2,0))</f>
        <v>1</v>
      </c>
      <c r="S37" s="134" t="str">
        <f ca="1">_xlfn.IFERROR(INDIRECT("datos!"&amp;HLOOKUP(Q37,calculo_imp,2,FALSE)&amp;VLOOKUP(O37,calculo_prob,2,FALSE)),"")</f>
        <v>Extremo</v>
      </c>
      <c r="T37" s="92">
        <v>1</v>
      </c>
      <c r="U37" s="84" t="s">
        <v>570</v>
      </c>
      <c r="V37" s="83" t="s">
        <v>571</v>
      </c>
      <c r="W37" s="83" t="s">
        <v>572</v>
      </c>
      <c r="X37" s="83" t="s">
        <v>573</v>
      </c>
      <c r="Y37" s="83" t="s">
        <v>574</v>
      </c>
      <c r="Z37" s="83" t="s">
        <v>575</v>
      </c>
      <c r="AA37" s="83" t="s">
        <v>576</v>
      </c>
      <c r="AB37" s="83" t="s">
        <v>577</v>
      </c>
      <c r="AC37" s="83" t="s">
        <v>578</v>
      </c>
      <c r="AD37" s="90" t="str">
        <f>IF(AE37="","",VLOOKUP(AE37,datos!$AT$6:$AU$9,2,0))</f>
        <v>Probabilidad</v>
      </c>
      <c r="AE37" s="84" t="s">
        <v>80</v>
      </c>
      <c r="AF37" s="84" t="s">
        <v>84</v>
      </c>
      <c r="AG37" s="85">
        <f>IF(AND(AE37="",AF37=""),"",IF(AE37="",0,VLOOKUP(AE37,datos!$AP$3:$AR$7,3,0))+IF(AF37="",0,VLOOKUP(AF37,datos!$AP$3:$AR$7,3,0)))</f>
        <v>0.4</v>
      </c>
      <c r="AH37" s="103" t="str">
        <f>IF(OR(AI37="",AI37=0),"",IF(AI37&lt;=datos!$AC$3,datos!$AE$3,IF(AI37&lt;=datos!$AC$4,datos!$AE$4,IF(AI37&lt;=datos!$AC$5,datos!$AE$5,IF(AI37&lt;=datos!$AC$6,datos!$AE$6,IF(AI37&lt;=datos!$AC$7,datos!$AE$7,""))))))</f>
        <v>Media</v>
      </c>
      <c r="AI37" s="104">
        <f>IF(AD37="","",IF(T37=1,IF(AD37="Probabilidad",P37-(P37*AG37),P37),IF(AD37="Probabilidad",#REF!-(#REF!*AG37),#REF!)))</f>
        <v>0.6</v>
      </c>
      <c r="AJ37" s="105" t="str">
        <f>+IF(AK37&lt;=datos!$AD$11,datos!$AC$11,IF(AK37&lt;=datos!$AD$12,datos!$AC$12,IF(AK37&lt;=datos!$AD$13,datos!$AC$13,IF(AK37&lt;=datos!$AD$14,datos!$AC$14,IF(AK37&lt;=datos!$AD$15,datos!$AC$15,"")))))</f>
        <v>Catastrófico</v>
      </c>
      <c r="AK37" s="104">
        <f>IF(AD37="","",IF(T37=1,IF(AD37="Impacto",R37-(R37*AG37),R37),IF(AD37="Impacto",#REF!-(#REF!*AG37),#REF!)))</f>
        <v>1</v>
      </c>
      <c r="AL37" s="105" t="str">
        <f ca="1" t="shared" si="3"/>
        <v>Extremo</v>
      </c>
      <c r="AM37" s="147" t="s">
        <v>92</v>
      </c>
      <c r="AN37" s="137" t="s">
        <v>587</v>
      </c>
      <c r="AO37" s="138">
        <v>45291</v>
      </c>
      <c r="AP37" s="135" t="s">
        <v>588</v>
      </c>
    </row>
    <row r="38" spans="1:42" ht="204.75" thickBot="1">
      <c r="A38" s="146">
        <v>19</v>
      </c>
      <c r="B38" s="84" t="s">
        <v>42</v>
      </c>
      <c r="C38" s="84" t="s">
        <v>249</v>
      </c>
      <c r="D38" s="90" t="str">
        <f>_xlfn.IFERROR(VLOOKUP(B38,datos!$B$1:$C$21,2,0),"")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8" s="84" t="s">
        <v>55</v>
      </c>
      <c r="F38" s="84" t="s">
        <v>567</v>
      </c>
      <c r="G38" s="84" t="s">
        <v>568</v>
      </c>
      <c r="H38" s="84" t="s">
        <v>233</v>
      </c>
      <c r="I38" s="84" t="s">
        <v>565</v>
      </c>
      <c r="J38" s="84" t="s">
        <v>569</v>
      </c>
      <c r="K38" s="139" t="s">
        <v>184</v>
      </c>
      <c r="L38" s="133" t="s">
        <v>57</v>
      </c>
      <c r="M38" s="143" t="s">
        <v>275</v>
      </c>
      <c r="N38" s="142">
        <v>266</v>
      </c>
      <c r="O38" s="105" t="str">
        <f>_xlfn.IFERROR(VLOOKUP(P38,datos!$AC$2:$AE$7,3,0),"")</f>
        <v>Media</v>
      </c>
      <c r="P38" s="144">
        <f>+IF(OR(N38="",N38=0),"",IF(N38&lt;=datos!$AD$3,datos!$AC$3,IF(AND(N38&gt;datos!$AD$3,N38&lt;=datos!$AD$4),datos!$AC$4,IF(AND(N38&gt;datos!$AD$4,N38&lt;=datos!$AD$5),datos!$AC$5,IF(AND(N38&gt;datos!$AD$5,N38&lt;=datos!$AD$6),datos!$AC$6,IF(N38&gt;datos!$AD$7,datos!$AC$7,0))))))</f>
        <v>0.6</v>
      </c>
      <c r="Q38" s="145" t="str">
        <f>+HLOOKUP(A38,'Impacto Riesgo de Corrupción'!$D$8:$AY$29,22,0)</f>
        <v>Catastrófico</v>
      </c>
      <c r="R38" s="144">
        <f>+IF(Q38="","",VLOOKUP(Q38,datos!$AC$12:$AD$15,2,0))</f>
        <v>1</v>
      </c>
      <c r="S38" s="134" t="str">
        <f ca="1">_xlfn.IFERROR(INDIRECT("datos!"&amp;HLOOKUP(Q38,calculo_imp,2,FALSE)&amp;VLOOKUP(O38,calculo_prob,2,FALSE)),"")</f>
        <v>Extremo</v>
      </c>
      <c r="T38" s="92">
        <v>1</v>
      </c>
      <c r="U38" s="84" t="s">
        <v>579</v>
      </c>
      <c r="V38" s="83" t="s">
        <v>580</v>
      </c>
      <c r="W38" s="83" t="s">
        <v>581</v>
      </c>
      <c r="X38" s="83" t="s">
        <v>582</v>
      </c>
      <c r="Y38" s="83" t="s">
        <v>583</v>
      </c>
      <c r="Z38" s="83" t="s">
        <v>584</v>
      </c>
      <c r="AA38" s="83" t="s">
        <v>585</v>
      </c>
      <c r="AB38" s="83" t="s">
        <v>586</v>
      </c>
      <c r="AC38" s="83" t="s">
        <v>578</v>
      </c>
      <c r="AD38" s="90" t="str">
        <f>IF(AE38="","",VLOOKUP(AE38,datos!$AT$6:$AU$9,2,0))</f>
        <v>Probabilidad</v>
      </c>
      <c r="AE38" s="84" t="s">
        <v>80</v>
      </c>
      <c r="AF38" s="84" t="s">
        <v>84</v>
      </c>
      <c r="AG38" s="85">
        <f>IF(AND(AE38="",AF38=""),"",IF(AE38="",0,VLOOKUP(AE38,datos!$AP$3:$AR$7,3,0))+IF(AF38="",0,VLOOKUP(AF38,datos!$AP$3:$AR$7,3,0)))</f>
        <v>0.4</v>
      </c>
      <c r="AH38" s="103" t="str">
        <f>IF(OR(AI38="",AI38=0),"",IF(AI38&lt;=datos!$AC$3,datos!$AE$3,IF(AI38&lt;=datos!$AC$4,datos!$AE$4,IF(AI38&lt;=datos!$AC$5,datos!$AE$5,IF(AI38&lt;=datos!$AC$6,datos!$AE$6,IF(AI38&lt;=datos!$AC$7,datos!$AE$7,""))))))</f>
        <v>Baja</v>
      </c>
      <c r="AI38" s="104">
        <f>IF(AD38="","",IF(T38=1,IF(AD38="Probabilidad",P38-(P38*AG38),P38),IF(AD38="Probabilidad",#REF!-(#REF!*AG38),#REF!)))</f>
        <v>0.36</v>
      </c>
      <c r="AJ38" s="105" t="str">
        <f>+IF(AK38&lt;=datos!$AD$11,datos!$AC$11,IF(AK38&lt;=datos!$AD$12,datos!$AC$12,IF(AK38&lt;=datos!$AD$13,datos!$AC$13,IF(AK38&lt;=datos!$AD$14,datos!$AC$14,IF(AK38&lt;=datos!$AD$15,datos!$AC$15,"")))))</f>
        <v>Catastrófico</v>
      </c>
      <c r="AK38" s="104">
        <f>IF(AD38="","",IF(T38=1,IF(AD38="Impacto",R38-(R38*AG38),R38),IF(AD38="Impacto",#REF!-(#REF!*AG38),#REF!)))</f>
        <v>1</v>
      </c>
      <c r="AL38" s="105" t="str">
        <f ca="1" t="shared" si="3"/>
        <v>Extremo</v>
      </c>
      <c r="AM38" s="147" t="s">
        <v>92</v>
      </c>
      <c r="AN38" s="137" t="s">
        <v>589</v>
      </c>
      <c r="AO38" s="138">
        <v>45291</v>
      </c>
      <c r="AP38" s="135" t="s">
        <v>588</v>
      </c>
    </row>
    <row r="39" spans="1:42" ht="132">
      <c r="A39" s="219">
        <v>20</v>
      </c>
      <c r="B39" s="187" t="s">
        <v>42</v>
      </c>
      <c r="C39" s="187" t="s">
        <v>249</v>
      </c>
      <c r="D39" s="185"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187" t="s">
        <v>54</v>
      </c>
      <c r="F39" s="187" t="s">
        <v>590</v>
      </c>
      <c r="G39" s="187" t="s">
        <v>591</v>
      </c>
      <c r="H39" s="187" t="s">
        <v>233</v>
      </c>
      <c r="I39" s="187"/>
      <c r="J39" s="187" t="s">
        <v>592</v>
      </c>
      <c r="K39" s="189" t="s">
        <v>184</v>
      </c>
      <c r="L39" s="191" t="s">
        <v>56</v>
      </c>
      <c r="M39" s="195" t="s">
        <v>275</v>
      </c>
      <c r="N39" s="193">
        <v>132</v>
      </c>
      <c r="O39" s="221" t="str">
        <f>_xlfn.IFERROR(VLOOKUP(P39,datos!$AC$2:$AE$7,3,0),"")</f>
        <v>Media</v>
      </c>
      <c r="P39" s="217">
        <f>+IF(OR(N39="",N39=0),"",IF(N39&lt;=datos!$AD$3,datos!$AC$3,IF(AND(N39&gt;datos!$AD$3,N39&lt;=datos!$AD$4),datos!$AC$4,IF(AND(N39&gt;datos!$AD$4,N39&lt;=datos!$AD$5),datos!$AC$5,IF(AND(N39&gt;datos!$AD$5,N39&lt;=datos!$AD$6),datos!$AC$6,IF(N39&gt;datos!$AD$7,datos!$AC$7,0))))))</f>
        <v>0.6</v>
      </c>
      <c r="Q39" s="215" t="str">
        <f>+HLOOKUP(A39,'Impacto Riesgo de Corrupción'!$D$8:$AY$29,22,0)</f>
        <v>Mayor</v>
      </c>
      <c r="R39" s="217">
        <f>+IF(Q39="","",VLOOKUP(Q39,datos!$AC$12:$AD$15,2,0))</f>
        <v>0.8</v>
      </c>
      <c r="S39" s="197" t="str">
        <f ca="1">_xlfn.IFERROR(INDIRECT("datos!"&amp;HLOOKUP(Q39,calculo_imp,2,FALSE)&amp;VLOOKUP(O39,calculo_prob,2,FALSE)),"")</f>
        <v>Alto</v>
      </c>
      <c r="T39" s="92">
        <v>1</v>
      </c>
      <c r="U39" s="84" t="s">
        <v>593</v>
      </c>
      <c r="V39" s="83" t="s">
        <v>594</v>
      </c>
      <c r="W39" s="83" t="s">
        <v>595</v>
      </c>
      <c r="X39" s="83" t="s">
        <v>596</v>
      </c>
      <c r="Y39" s="83" t="s">
        <v>597</v>
      </c>
      <c r="Z39" s="83" t="s">
        <v>598</v>
      </c>
      <c r="AA39" s="83" t="s">
        <v>599</v>
      </c>
      <c r="AB39" s="83" t="s">
        <v>600</v>
      </c>
      <c r="AC39" s="83" t="s">
        <v>601</v>
      </c>
      <c r="AD39" s="90" t="str">
        <f>IF(AE39="","",VLOOKUP(AE39,datos!$AT$6:$AU$9,2,0))</f>
        <v>Probabilidad</v>
      </c>
      <c r="AE39" s="84" t="s">
        <v>80</v>
      </c>
      <c r="AF39" s="84" t="s">
        <v>84</v>
      </c>
      <c r="AG39" s="85">
        <f>IF(AND(AE39="",AF39=""),"",IF(AE39="",0,VLOOKUP(AE39,datos!$AP$3:$AR$7,3,0))+IF(AF39="",0,VLOOKUP(AF39,datos!$AP$3:$AR$7,3,0)))</f>
        <v>0.4</v>
      </c>
      <c r="AH39" s="103" t="str">
        <f>IF(OR(AI39="",AI39=0),"",IF(AI39&lt;=datos!$AC$3,datos!$AE$3,IF(AI39&lt;=datos!$AC$4,datos!$AE$4,IF(AI39&lt;=datos!$AC$5,datos!$AE$5,IF(AI39&lt;=datos!$AC$6,datos!$AE$6,IF(AI39&lt;=datos!$AC$7,datos!$AE$7,""))))))</f>
        <v>Baja</v>
      </c>
      <c r="AI39" s="104">
        <f>IF(AD39="","",IF(T39=1,IF(AD39="Probabilidad",P39-(P39*AG39),P39),IF(AD39="Probabilidad",#REF!-(#REF!*AG39),#REF!)))</f>
        <v>0.36</v>
      </c>
      <c r="AJ39" s="105" t="str">
        <f>+IF(AK39&lt;=datos!$AD$11,datos!$AC$11,IF(AK39&lt;=datos!$AD$12,datos!$AC$12,IF(AK39&lt;=datos!$AD$13,datos!$AC$13,IF(AK39&lt;=datos!$AD$14,datos!$AC$14,IF(AK39&lt;=datos!$AD$15,datos!$AC$15,"")))))</f>
        <v>Mayor</v>
      </c>
      <c r="AK39" s="104">
        <f>IF(AD39="","",IF(T39=1,IF(AD39="Impacto",R39-(R39*AG39),R39),IF(AD39="Impacto",#REF!-(#REF!*AG39),#REF!)))</f>
        <v>0.8</v>
      </c>
      <c r="AL39" s="105" t="str">
        <f aca="true" ca="1" t="shared" si="4" ref="AL39:AL49">_xlfn.IFERROR(INDIRECT("datos!"&amp;HLOOKUP(AJ39,calculo_imp,2,FALSE)&amp;VLOOKUP(AH39,calculo_prob,2,FALSE)),"")</f>
        <v>Alto</v>
      </c>
      <c r="AM39" s="224" t="s">
        <v>92</v>
      </c>
      <c r="AN39" s="226" t="s">
        <v>610</v>
      </c>
      <c r="AO39" s="228"/>
      <c r="AP39" s="199" t="s">
        <v>611</v>
      </c>
    </row>
    <row r="40" spans="1:42" ht="48.75" thickBot="1">
      <c r="A40" s="220"/>
      <c r="B40" s="188"/>
      <c r="C40" s="188"/>
      <c r="D40" s="186"/>
      <c r="E40" s="188"/>
      <c r="F40" s="188"/>
      <c r="G40" s="188"/>
      <c r="H40" s="188"/>
      <c r="I40" s="188"/>
      <c r="J40" s="188"/>
      <c r="K40" s="190"/>
      <c r="L40" s="192"/>
      <c r="M40" s="196"/>
      <c r="N40" s="194"/>
      <c r="O40" s="222"/>
      <c r="P40" s="218"/>
      <c r="Q40" s="216"/>
      <c r="R40" s="218" t="e">
        <f>IF(OR(#REF!=datos!$AB$10,#REF!=datos!$AB$16),"",VLOOKUP(#REF!,datos!$AA$10:$AC$21,3,0))</f>
        <v>#REF!</v>
      </c>
      <c r="S40" s="198"/>
      <c r="T40" s="93">
        <v>2</v>
      </c>
      <c r="U40" s="80" t="s">
        <v>602</v>
      </c>
      <c r="V40" s="79" t="s">
        <v>603</v>
      </c>
      <c r="W40" s="79" t="s">
        <v>604</v>
      </c>
      <c r="X40" s="79" t="s">
        <v>605</v>
      </c>
      <c r="Y40" s="79" t="s">
        <v>606</v>
      </c>
      <c r="Z40" s="79" t="s">
        <v>607</v>
      </c>
      <c r="AA40" s="79" t="s">
        <v>608</v>
      </c>
      <c r="AB40" s="79" t="s">
        <v>609</v>
      </c>
      <c r="AC40" s="79" t="s">
        <v>601</v>
      </c>
      <c r="AD40" s="89" t="str">
        <f>IF(AE40="","",VLOOKUP(AE40,datos!$AT$6:$AU$9,2,0))</f>
        <v>Probabilidad</v>
      </c>
      <c r="AE40" s="80" t="s">
        <v>80</v>
      </c>
      <c r="AF40" s="80" t="s">
        <v>84</v>
      </c>
      <c r="AG40" s="86">
        <f>IF(AND(AE40="",AF40=""),"",IF(AE40="",0,VLOOKUP(AE40,datos!$AP$3:$AR$7,3,0))+IF(AF40="",0,VLOOKUP(AF40,datos!$AP$3:$AR$7,3,0)))</f>
        <v>0.4</v>
      </c>
      <c r="AH40" s="106" t="str">
        <f>IF(OR(AI40="",AI40=0),"",IF(AI40&lt;=datos!$AC$3,datos!$AE$3,IF(AI40&lt;=datos!$AC$4,datos!$AE$4,IF(AI40&lt;=datos!$AC$5,datos!$AE$5,IF(AI40&lt;=datos!$AC$6,datos!$AE$6,IF(AI40&lt;=datos!$AC$7,datos!$AE$7,""))))))</f>
        <v>Baja</v>
      </c>
      <c r="AI40" s="107">
        <f>IF(AD40="","",IF(T40=1,IF(AD40="Probabilidad",P40-(P40*AG40),P40),IF(AD40="Probabilidad",AI39-(AI39*AG40),AI39)))</f>
        <v>0.216</v>
      </c>
      <c r="AJ40" s="108" t="str">
        <f>+IF(AK40&lt;=datos!$AD$11,datos!$AC$11,IF(AK40&lt;=datos!$AD$12,datos!$AC$12,IF(AK40&lt;=datos!$AD$13,datos!$AC$13,IF(AK40&lt;=datos!$AD$14,datos!$AC$14,IF(AK40&lt;=datos!$AD$15,datos!$AC$15,"")))))</f>
        <v>Mayor</v>
      </c>
      <c r="AK40" s="107">
        <f>IF(AD40="","",IF(T40=1,IF(AD40="Impacto",R40-(R40*AG40),R40),IF(AD40="Impacto",AK39-(AK39*AG40),AK39)))</f>
        <v>0.8</v>
      </c>
      <c r="AL40" s="108" t="str">
        <f ca="1" t="shared" si="4"/>
        <v>Alto</v>
      </c>
      <c r="AM40" s="225"/>
      <c r="AN40" s="227"/>
      <c r="AO40" s="229"/>
      <c r="AP40" s="200"/>
    </row>
    <row r="41" spans="1:42" ht="168.75" thickBot="1">
      <c r="A41" s="141">
        <v>21</v>
      </c>
      <c r="B41" s="84" t="s">
        <v>42</v>
      </c>
      <c r="C41" s="84" t="s">
        <v>249</v>
      </c>
      <c r="D41" s="90"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2" t="s">
        <v>54</v>
      </c>
      <c r="F41" s="82" t="s">
        <v>612</v>
      </c>
      <c r="G41" s="82" t="s">
        <v>613</v>
      </c>
      <c r="H41" s="84" t="s">
        <v>233</v>
      </c>
      <c r="I41" s="84" t="s">
        <v>463</v>
      </c>
      <c r="J41" s="82" t="s">
        <v>614</v>
      </c>
      <c r="K41" s="139" t="s">
        <v>184</v>
      </c>
      <c r="L41" s="140" t="s">
        <v>57</v>
      </c>
      <c r="M41" s="143" t="s">
        <v>12</v>
      </c>
      <c r="N41" s="142" t="s">
        <v>615</v>
      </c>
      <c r="O41" s="105" t="str">
        <f>_xlfn.IFERROR(VLOOKUP(P41,datos!$AC$2:$AE$7,3,0),"")</f>
        <v>Muy Alta</v>
      </c>
      <c r="P41" s="144">
        <f>+IF(OR(N41="",N41=0),"",IF(N41&lt;=datos!$AD$3,datos!$AC$3,IF(AND(N41&gt;datos!$AD$3,N41&lt;=datos!$AD$4),datos!$AC$4,IF(AND(N41&gt;datos!$AD$4,N41&lt;=datos!$AD$5),datos!$AC$5,IF(AND(N41&gt;datos!$AD$5,N41&lt;=datos!$AD$6),datos!$AC$6,IF(N41&gt;datos!$AD$7,datos!$AC$7,0))))))</f>
        <v>1</v>
      </c>
      <c r="Q41" s="145" t="str">
        <f>+HLOOKUP(A41,'Impacto Riesgo de Corrupción'!$D$8:$AY$29,22,0)</f>
        <v>Catastrófico</v>
      </c>
      <c r="R41" s="144">
        <f>+IF(Q41="","",VLOOKUP(Q41,datos!$AC$12:$AD$15,2,0))</f>
        <v>1</v>
      </c>
      <c r="S41" s="134" t="str">
        <f aca="true" ca="1" t="shared" si="5" ref="S41:S46">_xlfn.IFERROR(INDIRECT("datos!"&amp;HLOOKUP(Q41,calculo_imp,2,FALSE)&amp;VLOOKUP(O41,calculo_prob,2,FALSE)),"")</f>
        <v>Extremo</v>
      </c>
      <c r="T41" s="95">
        <v>1</v>
      </c>
      <c r="U41" s="82" t="s">
        <v>626</v>
      </c>
      <c r="V41" s="81" t="s">
        <v>627</v>
      </c>
      <c r="W41" s="81" t="s">
        <v>628</v>
      </c>
      <c r="X41" s="81" t="s">
        <v>629</v>
      </c>
      <c r="Y41" s="81" t="s">
        <v>630</v>
      </c>
      <c r="Z41" s="81" t="s">
        <v>631</v>
      </c>
      <c r="AA41" s="81" t="s">
        <v>632</v>
      </c>
      <c r="AB41" s="81" t="s">
        <v>633</v>
      </c>
      <c r="AC41" s="81" t="s">
        <v>634</v>
      </c>
      <c r="AD41" s="88" t="str">
        <f>IF(AE41="","",VLOOKUP(AE41,datos!$AT$6:$AU$9,2,0))</f>
        <v>Probabilidad</v>
      </c>
      <c r="AE41" s="82" t="s">
        <v>81</v>
      </c>
      <c r="AF41" s="82" t="s">
        <v>84</v>
      </c>
      <c r="AG41" s="87">
        <f>IF(AND(AE41="",AF41=""),"",IF(AE41="",0,VLOOKUP(AE41,datos!$AP$3:$AR$7,3,0))+IF(AF41="",0,VLOOKUP(AF41,datos!$AP$3:$AR$7,3,0)))</f>
        <v>0.3</v>
      </c>
      <c r="AH41" s="112" t="str">
        <f>IF(OR(AI41="",AI41=0),"",IF(AI41&lt;=datos!$AC$3,datos!$AE$3,IF(AI41&lt;=datos!$AC$4,datos!$AE$4,IF(AI41&lt;=datos!$AC$5,datos!$AE$5,IF(AI41&lt;=datos!$AC$6,datos!$AE$6,IF(AI41&lt;=datos!$AC$7,datos!$AE$7,""))))))</f>
        <v>Alta</v>
      </c>
      <c r="AI41" s="109">
        <f>IF(AD41="","",IF(T41=1,IF(AD41="Probabilidad",P41-(P41*AG41),P41),IF(AD41="Probabilidad",#REF!-(#REF!*AG41),#REF!)))</f>
        <v>0.7</v>
      </c>
      <c r="AJ41" s="110" t="str">
        <f>+IF(AK41&lt;=datos!$AD$11,datos!$AC$11,IF(AK41&lt;=datos!$AD$12,datos!$AC$12,IF(AK41&lt;=datos!$AD$13,datos!$AC$13,IF(AK41&lt;=datos!$AD$14,datos!$AC$14,IF(AK41&lt;=datos!$AD$15,datos!$AC$15,"")))))</f>
        <v>Catastrófico</v>
      </c>
      <c r="AK41" s="109">
        <f>IF(AD41="","",IF(T41=1,IF(AD41="Impacto",R41-(R41*AG41),R41),IF(AD41="Impacto",#REF!-(#REF!*AG41),#REF!)))</f>
        <v>1</v>
      </c>
      <c r="AL41" s="110" t="str">
        <f ca="1" t="shared" si="4"/>
        <v>Extremo</v>
      </c>
      <c r="AM41" s="147" t="s">
        <v>92</v>
      </c>
      <c r="AN41" s="137" t="s">
        <v>656</v>
      </c>
      <c r="AO41" s="138">
        <v>44958</v>
      </c>
      <c r="AP41" s="136" t="s">
        <v>657</v>
      </c>
    </row>
    <row r="42" spans="1:42" ht="228.75" thickBot="1">
      <c r="A42" s="146">
        <v>22</v>
      </c>
      <c r="B42" s="84" t="s">
        <v>42</v>
      </c>
      <c r="C42" s="84" t="s">
        <v>249</v>
      </c>
      <c r="D42" s="90"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84" t="s">
        <v>54</v>
      </c>
      <c r="F42" s="84" t="s">
        <v>616</v>
      </c>
      <c r="G42" s="84" t="s">
        <v>617</v>
      </c>
      <c r="H42" s="84" t="s">
        <v>233</v>
      </c>
      <c r="I42" s="84" t="s">
        <v>463</v>
      </c>
      <c r="J42" s="84" t="s">
        <v>618</v>
      </c>
      <c r="K42" s="139" t="s">
        <v>184</v>
      </c>
      <c r="L42" s="133" t="s">
        <v>57</v>
      </c>
      <c r="M42" s="143" t="s">
        <v>12</v>
      </c>
      <c r="N42" s="142" t="s">
        <v>619</v>
      </c>
      <c r="O42" s="105" t="str">
        <f>_xlfn.IFERROR(VLOOKUP(P42,datos!$AC$2:$AE$7,3,0),"")</f>
        <v>Muy Alta</v>
      </c>
      <c r="P42" s="144">
        <f>+IF(OR(N42="",N42=0),"",IF(N42&lt;=datos!$AD$3,datos!$AC$3,IF(AND(N42&gt;datos!$AD$3,N42&lt;=datos!$AD$4),datos!$AC$4,IF(AND(N42&gt;datos!$AD$4,N42&lt;=datos!$AD$5),datos!$AC$5,IF(AND(N42&gt;datos!$AD$5,N42&lt;=datos!$AD$6),datos!$AC$6,IF(N42&gt;datos!$AD$7,datos!$AC$7,0))))))</f>
        <v>1</v>
      </c>
      <c r="Q42" s="145" t="str">
        <f>+HLOOKUP(A42,'Impacto Riesgo de Corrupción'!$D$8:$AY$29,22,0)</f>
        <v>Catastrófico</v>
      </c>
      <c r="R42" s="144">
        <f>+IF(Q42="","",VLOOKUP(Q42,datos!$AC$12:$AD$15,2,0))</f>
        <v>1</v>
      </c>
      <c r="S42" s="134" t="str">
        <f ca="1" t="shared" si="5"/>
        <v>Extremo</v>
      </c>
      <c r="T42" s="92">
        <v>1</v>
      </c>
      <c r="U42" s="84" t="s">
        <v>635</v>
      </c>
      <c r="V42" s="83" t="s">
        <v>636</v>
      </c>
      <c r="W42" s="83" t="s">
        <v>628</v>
      </c>
      <c r="X42" s="83" t="s">
        <v>637</v>
      </c>
      <c r="Y42" s="83" t="s">
        <v>638</v>
      </c>
      <c r="Z42" s="83" t="s">
        <v>639</v>
      </c>
      <c r="AA42" s="83" t="s">
        <v>640</v>
      </c>
      <c r="AB42" s="83" t="s">
        <v>641</v>
      </c>
      <c r="AC42" s="83" t="s">
        <v>634</v>
      </c>
      <c r="AD42" s="90" t="str">
        <f>IF(AE42="","",VLOOKUP(AE42,datos!$AT$6:$AU$9,2,0))</f>
        <v>Probabilidad</v>
      </c>
      <c r="AE42" s="84" t="s">
        <v>80</v>
      </c>
      <c r="AF42" s="84" t="s">
        <v>84</v>
      </c>
      <c r="AG42" s="85">
        <f>IF(AND(AE42="",AF42=""),"",IF(AE42="",0,VLOOKUP(AE42,datos!$AP$3:$AR$7,3,0))+IF(AF42="",0,VLOOKUP(AF42,datos!$AP$3:$AR$7,3,0)))</f>
        <v>0.4</v>
      </c>
      <c r="AH42" s="103" t="str">
        <f>IF(OR(AI42="",AI42=0),"",IF(AI42&lt;=datos!$AC$3,datos!$AE$3,IF(AI42&lt;=datos!$AC$4,datos!$AE$4,IF(AI42&lt;=datos!$AC$5,datos!$AE$5,IF(AI42&lt;=datos!$AC$6,datos!$AE$6,IF(AI42&lt;=datos!$AC$7,datos!$AE$7,""))))))</f>
        <v>Media</v>
      </c>
      <c r="AI42" s="104">
        <f>IF(AD42="","",IF(T42=1,IF(AD42="Probabilidad",P42-(P42*AG42),P42),IF(AD42="Probabilidad",#REF!-(#REF!*AG42),#REF!)))</f>
        <v>0.6</v>
      </c>
      <c r="AJ42" s="105" t="str">
        <f>+IF(AK42&lt;=datos!$AD$11,datos!$AC$11,IF(AK42&lt;=datos!$AD$12,datos!$AC$12,IF(AK42&lt;=datos!$AD$13,datos!$AC$13,IF(AK42&lt;=datos!$AD$14,datos!$AC$14,IF(AK42&lt;=datos!$AD$15,datos!$AC$15,"")))))</f>
        <v>Catastrófico</v>
      </c>
      <c r="AK42" s="104">
        <f>IF(AD42="","",IF(T42=1,IF(AD42="Impacto",R42-(R42*AG42),R42),IF(AD42="Impacto",#REF!-(#REF!*AG42),#REF!)))</f>
        <v>1</v>
      </c>
      <c r="AL42" s="105" t="str">
        <f ca="1" t="shared" si="4"/>
        <v>Extremo</v>
      </c>
      <c r="AM42" s="147" t="s">
        <v>92</v>
      </c>
      <c r="AN42" s="137" t="s">
        <v>658</v>
      </c>
      <c r="AO42" s="138">
        <v>44958</v>
      </c>
      <c r="AP42" s="135" t="s">
        <v>657</v>
      </c>
    </row>
    <row r="43" spans="1:42" ht="264.75" thickBot="1">
      <c r="A43" s="146">
        <v>23</v>
      </c>
      <c r="B43" s="84" t="s">
        <v>42</v>
      </c>
      <c r="C43" s="84" t="s">
        <v>249</v>
      </c>
      <c r="D43" s="90" t="str">
        <f>_xlfn.IFERROR(VLOOKUP(B43,datos!$B$1:$C$21,2,0),"")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3" s="84" t="s">
        <v>54</v>
      </c>
      <c r="F43" s="84" t="s">
        <v>620</v>
      </c>
      <c r="G43" s="84" t="s">
        <v>621</v>
      </c>
      <c r="H43" s="84" t="s">
        <v>233</v>
      </c>
      <c r="I43" s="84" t="s">
        <v>463</v>
      </c>
      <c r="J43" s="84" t="s">
        <v>622</v>
      </c>
      <c r="K43" s="139" t="s">
        <v>184</v>
      </c>
      <c r="L43" s="133" t="s">
        <v>57</v>
      </c>
      <c r="M43" s="143" t="s">
        <v>12</v>
      </c>
      <c r="N43" s="142">
        <v>12</v>
      </c>
      <c r="O43" s="105" t="str">
        <f>_xlfn.IFERROR(VLOOKUP(P43,datos!$AC$2:$AE$7,3,0),"")</f>
        <v>Baja</v>
      </c>
      <c r="P43" s="144">
        <f>+IF(OR(N43="",N43=0),"",IF(N43&lt;=datos!$AD$3,datos!$AC$3,IF(AND(N43&gt;datos!$AD$3,N43&lt;=datos!$AD$4),datos!$AC$4,IF(AND(N43&gt;datos!$AD$4,N43&lt;=datos!$AD$5),datos!$AC$5,IF(AND(N43&gt;datos!$AD$5,N43&lt;=datos!$AD$6),datos!$AC$6,IF(N43&gt;datos!$AD$7,datos!$AC$7,0))))))</f>
        <v>0.4</v>
      </c>
      <c r="Q43" s="145" t="str">
        <f>+HLOOKUP(A43,'Impacto Riesgo de Corrupción'!$D$8:$AY$29,22,0)</f>
        <v>Mayor</v>
      </c>
      <c r="R43" s="144">
        <f>+IF(Q43="","",VLOOKUP(Q43,datos!$AC$12:$AD$15,2,0))</f>
        <v>0.8</v>
      </c>
      <c r="S43" s="134" t="str">
        <f ca="1" t="shared" si="5"/>
        <v>Alto</v>
      </c>
      <c r="T43" s="92">
        <v>1</v>
      </c>
      <c r="U43" s="84" t="s">
        <v>642</v>
      </c>
      <c r="V43" s="83" t="s">
        <v>643</v>
      </c>
      <c r="W43" s="83" t="s">
        <v>628</v>
      </c>
      <c r="X43" s="83" t="s">
        <v>644</v>
      </c>
      <c r="Y43" s="83" t="s">
        <v>645</v>
      </c>
      <c r="Z43" s="83" t="s">
        <v>646</v>
      </c>
      <c r="AA43" s="83" t="s">
        <v>647</v>
      </c>
      <c r="AB43" s="83" t="s">
        <v>648</v>
      </c>
      <c r="AC43" s="83" t="s">
        <v>634</v>
      </c>
      <c r="AD43" s="90" t="str">
        <f>IF(AE43="","",VLOOKUP(AE43,datos!$AT$6:$AU$9,2,0))</f>
        <v>Probabilidad</v>
      </c>
      <c r="AE43" s="84" t="s">
        <v>80</v>
      </c>
      <c r="AF43" s="84" t="s">
        <v>84</v>
      </c>
      <c r="AG43" s="85">
        <f>IF(AND(AE43="",AF43=""),"",IF(AE43="",0,VLOOKUP(AE43,datos!$AP$3:$AR$7,3,0))+IF(AF43="",0,VLOOKUP(AF43,datos!$AP$3:$AR$7,3,0)))</f>
        <v>0.4</v>
      </c>
      <c r="AH43" s="103" t="str">
        <f>IF(OR(AI43="",AI43=0),"",IF(AI43&lt;=datos!$AC$3,datos!$AE$3,IF(AI43&lt;=datos!$AC$4,datos!$AE$4,IF(AI43&lt;=datos!$AC$5,datos!$AE$5,IF(AI43&lt;=datos!$AC$6,datos!$AE$6,IF(AI43&lt;=datos!$AC$7,datos!$AE$7,""))))))</f>
        <v>Baja</v>
      </c>
      <c r="AI43" s="104">
        <f>IF(AD43="","",IF(T43=1,IF(AD43="Probabilidad",P43-(P43*AG43),P43),IF(AD43="Probabilidad",#REF!-(#REF!*AG43),#REF!)))</f>
        <v>0.24</v>
      </c>
      <c r="AJ43" s="105" t="str">
        <f>+IF(AK43&lt;=datos!$AD$11,datos!$AC$11,IF(AK43&lt;=datos!$AD$12,datos!$AC$12,IF(AK43&lt;=datos!$AD$13,datos!$AC$13,IF(AK43&lt;=datos!$AD$14,datos!$AC$14,IF(AK43&lt;=datos!$AD$15,datos!$AC$15,"")))))</f>
        <v>Mayor</v>
      </c>
      <c r="AK43" s="104">
        <f>IF(AD43="","",IF(T43=1,IF(AD43="Impacto",R43-(R43*AG43),R43),IF(AD43="Impacto",#REF!-(#REF!*AG43),#REF!)))</f>
        <v>0.8</v>
      </c>
      <c r="AL43" s="105" t="str">
        <f ca="1" t="shared" si="4"/>
        <v>Alto</v>
      </c>
      <c r="AM43" s="147" t="s">
        <v>92</v>
      </c>
      <c r="AN43" s="137" t="s">
        <v>659</v>
      </c>
      <c r="AO43" s="138">
        <v>44958</v>
      </c>
      <c r="AP43" s="135" t="s">
        <v>657</v>
      </c>
    </row>
    <row r="44" spans="1:42" ht="396.75" thickBot="1">
      <c r="A44" s="146">
        <v>24</v>
      </c>
      <c r="B44" s="84" t="s">
        <v>42</v>
      </c>
      <c r="C44" s="84" t="s">
        <v>249</v>
      </c>
      <c r="D44" s="90" t="str">
        <f>_xlfn.IFERROR(VLOOKUP(B44,datos!$B$1:$C$21,2,0),"")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4" s="84" t="s">
        <v>54</v>
      </c>
      <c r="F44" s="84" t="s">
        <v>623</v>
      </c>
      <c r="G44" s="84" t="s">
        <v>624</v>
      </c>
      <c r="H44" s="84" t="s">
        <v>233</v>
      </c>
      <c r="I44" s="84" t="s">
        <v>463</v>
      </c>
      <c r="J44" s="84" t="s">
        <v>625</v>
      </c>
      <c r="K44" s="139" t="s">
        <v>184</v>
      </c>
      <c r="L44" s="133" t="s">
        <v>57</v>
      </c>
      <c r="M44" s="143" t="s">
        <v>12</v>
      </c>
      <c r="N44" s="142">
        <v>12</v>
      </c>
      <c r="O44" s="105" t="str">
        <f>_xlfn.IFERROR(VLOOKUP(P44,datos!$AC$2:$AE$7,3,0),"")</f>
        <v>Baja</v>
      </c>
      <c r="P44" s="144">
        <f>+IF(OR(N44="",N44=0),"",IF(N44&lt;=datos!$AD$3,datos!$AC$3,IF(AND(N44&gt;datos!$AD$3,N44&lt;=datos!$AD$4),datos!$AC$4,IF(AND(N44&gt;datos!$AD$4,N44&lt;=datos!$AD$5),datos!$AC$5,IF(AND(N44&gt;datos!$AD$5,N44&lt;=datos!$AD$6),datos!$AC$6,IF(N44&gt;datos!$AD$7,datos!$AC$7,0))))))</f>
        <v>0.4</v>
      </c>
      <c r="Q44" s="145" t="str">
        <f>+HLOOKUP(A44,'Impacto Riesgo de Corrupción'!$D$8:$AY$29,22,0)</f>
        <v>Mayor</v>
      </c>
      <c r="R44" s="144">
        <f>+IF(Q44="","",VLOOKUP(Q44,datos!$AC$12:$AD$15,2,0))</f>
        <v>0.8</v>
      </c>
      <c r="S44" s="134" t="str">
        <f ca="1" t="shared" si="5"/>
        <v>Alto</v>
      </c>
      <c r="T44" s="92">
        <v>1</v>
      </c>
      <c r="U44" s="84" t="s">
        <v>649</v>
      </c>
      <c r="V44" s="83" t="s">
        <v>650</v>
      </c>
      <c r="W44" s="83" t="s">
        <v>628</v>
      </c>
      <c r="X44" s="83" t="s">
        <v>651</v>
      </c>
      <c r="Y44" s="83" t="s">
        <v>652</v>
      </c>
      <c r="Z44" s="83" t="s">
        <v>653</v>
      </c>
      <c r="AA44" s="83" t="s">
        <v>654</v>
      </c>
      <c r="AB44" s="83" t="s">
        <v>655</v>
      </c>
      <c r="AC44" s="83" t="s">
        <v>634</v>
      </c>
      <c r="AD44" s="90" t="str">
        <f>IF(AE44="","",VLOOKUP(AE44,datos!$AT$6:$AU$9,2,0))</f>
        <v>Probabilidad</v>
      </c>
      <c r="AE44" s="84" t="s">
        <v>81</v>
      </c>
      <c r="AF44" s="84" t="s">
        <v>83</v>
      </c>
      <c r="AG44" s="85">
        <f>IF(AND(AE44="",AF44=""),"",IF(AE44="",0,VLOOKUP(AE44,datos!$AP$3:$AR$7,3,0))+IF(AF44="",0,VLOOKUP(AF44,datos!$AP$3:$AR$7,3,0)))</f>
        <v>0.4</v>
      </c>
      <c r="AH44" s="103" t="str">
        <f>IF(OR(AI44="",AI44=0),"",IF(AI44&lt;=datos!$AC$3,datos!$AE$3,IF(AI44&lt;=datos!$AC$4,datos!$AE$4,IF(AI44&lt;=datos!$AC$5,datos!$AE$5,IF(AI44&lt;=datos!$AC$6,datos!$AE$6,IF(AI44&lt;=datos!$AC$7,datos!$AE$7,""))))))</f>
        <v>Baja</v>
      </c>
      <c r="AI44" s="104">
        <f>IF(AD44="","",IF(T44=1,IF(AD44="Probabilidad",P44-(P44*AG44),P44),IF(AD44="Probabilidad",#REF!-(#REF!*AG44),#REF!)))</f>
        <v>0.24</v>
      </c>
      <c r="AJ44" s="105" t="str">
        <f>+IF(AK44&lt;=datos!$AD$11,datos!$AC$11,IF(AK44&lt;=datos!$AD$12,datos!$AC$12,IF(AK44&lt;=datos!$AD$13,datos!$AC$13,IF(AK44&lt;=datos!$AD$14,datos!$AC$14,IF(AK44&lt;=datos!$AD$15,datos!$AC$15,"")))))</f>
        <v>Mayor</v>
      </c>
      <c r="AK44" s="104">
        <f>IF(AD44="","",IF(T44=1,IF(AD44="Impacto",R44-(R44*AG44),R44),IF(AD44="Impacto",#REF!-(#REF!*AG44),#REF!)))</f>
        <v>0.8</v>
      </c>
      <c r="AL44" s="105" t="str">
        <f ca="1" t="shared" si="4"/>
        <v>Alto</v>
      </c>
      <c r="AM44" s="147" t="s">
        <v>92</v>
      </c>
      <c r="AN44" s="137" t="s">
        <v>660</v>
      </c>
      <c r="AO44" s="138">
        <v>44958</v>
      </c>
      <c r="AP44" s="135" t="s">
        <v>657</v>
      </c>
    </row>
    <row r="45" spans="1:42" ht="276.75" thickBot="1">
      <c r="A45" s="141">
        <v>25</v>
      </c>
      <c r="B45" s="82" t="s">
        <v>40</v>
      </c>
      <c r="C45" s="84" t="s">
        <v>247</v>
      </c>
      <c r="D45" s="90" t="str">
        <f>_xlfn.IFERROR(VLOOKUP(B45,datos!$B$1:$C$21,2,0),"")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5" s="82" t="s">
        <v>55</v>
      </c>
      <c r="F45" s="82" t="s">
        <v>661</v>
      </c>
      <c r="G45" s="82" t="s">
        <v>662</v>
      </c>
      <c r="H45" s="84" t="s">
        <v>233</v>
      </c>
      <c r="I45" s="84" t="s">
        <v>295</v>
      </c>
      <c r="J45" s="82" t="s">
        <v>663</v>
      </c>
      <c r="K45" s="139" t="s">
        <v>184</v>
      </c>
      <c r="L45" s="140" t="s">
        <v>57</v>
      </c>
      <c r="M45" s="143" t="s">
        <v>275</v>
      </c>
      <c r="N45" s="142">
        <v>150</v>
      </c>
      <c r="O45" s="105" t="str">
        <f>_xlfn.IFERROR(VLOOKUP(P45,datos!$AC$2:$AE$7,3,0),"")</f>
        <v>Media</v>
      </c>
      <c r="P45" s="144">
        <f>+IF(OR(N45="",N45=0),"",IF(N45&lt;=datos!$AD$3,datos!$AC$3,IF(AND(N45&gt;datos!$AD$3,N45&lt;=datos!$AD$4),datos!$AC$4,IF(AND(N45&gt;datos!$AD$4,N45&lt;=datos!$AD$5),datos!$AC$5,IF(AND(N45&gt;datos!$AD$5,N45&lt;=datos!$AD$6),datos!$AC$6,IF(N45&gt;datos!$AD$7,datos!$AC$7,0))))))</f>
        <v>0.6</v>
      </c>
      <c r="Q45" s="145" t="str">
        <f>+HLOOKUP(A45,'Impacto Riesgo de Corrupción'!$D$8:$AY$29,22,0)</f>
        <v>Mayor</v>
      </c>
      <c r="R45" s="144">
        <f>+IF(Q45="","",VLOOKUP(Q45,datos!$AC$12:$AD$15,2,0))</f>
        <v>0.8</v>
      </c>
      <c r="S45" s="134" t="str">
        <f ca="1" t="shared" si="5"/>
        <v>Alto</v>
      </c>
      <c r="T45" s="95">
        <v>1</v>
      </c>
      <c r="U45" s="82" t="s">
        <v>667</v>
      </c>
      <c r="V45" s="81" t="s">
        <v>668</v>
      </c>
      <c r="W45" s="81" t="s">
        <v>669</v>
      </c>
      <c r="X45" s="81" t="s">
        <v>670</v>
      </c>
      <c r="Y45" s="81" t="s">
        <v>671</v>
      </c>
      <c r="Z45" s="81" t="s">
        <v>672</v>
      </c>
      <c r="AA45" s="81" t="s">
        <v>673</v>
      </c>
      <c r="AB45" s="81" t="s">
        <v>674</v>
      </c>
      <c r="AC45" s="81" t="s">
        <v>675</v>
      </c>
      <c r="AD45" s="88" t="str">
        <f>IF(AE45="","",VLOOKUP(AE45,datos!$AT$6:$AU$9,2,0))</f>
        <v>Probabilidad</v>
      </c>
      <c r="AE45" s="82" t="s">
        <v>80</v>
      </c>
      <c r="AF45" s="82" t="s">
        <v>84</v>
      </c>
      <c r="AG45" s="87">
        <f>IF(AND(AE45="",AF45=""),"",IF(AE45="",0,VLOOKUP(AE45,datos!$AP$3:$AR$7,3,0))+IF(AF45="",0,VLOOKUP(AF45,datos!$AP$3:$AR$7,3,0)))</f>
        <v>0.4</v>
      </c>
      <c r="AH45" s="112" t="str">
        <f>IF(OR(AI45="",AI45=0),"",IF(AI45&lt;=datos!$AC$3,datos!$AE$3,IF(AI45&lt;=datos!$AC$4,datos!$AE$4,IF(AI45&lt;=datos!$AC$5,datos!$AE$5,IF(AI45&lt;=datos!$AC$6,datos!$AE$6,IF(AI45&lt;=datos!$AC$7,datos!$AE$7,""))))))</f>
        <v>Baja</v>
      </c>
      <c r="AI45" s="109">
        <f>IF(AD45="","",IF(T45=1,IF(AD45="Probabilidad",P45-(P45*AG45),P45),IF(AD45="Probabilidad",#REF!-(#REF!*AG45),#REF!)))</f>
        <v>0.36</v>
      </c>
      <c r="AJ45" s="110" t="str">
        <f>+IF(AK45&lt;=datos!$AD$11,datos!$AC$11,IF(AK45&lt;=datos!$AD$12,datos!$AC$12,IF(AK45&lt;=datos!$AD$13,datos!$AC$13,IF(AK45&lt;=datos!$AD$14,datos!$AC$14,IF(AK45&lt;=datos!$AD$15,datos!$AC$15,"")))))</f>
        <v>Mayor</v>
      </c>
      <c r="AK45" s="109">
        <f>IF(AD45="","",IF(T45=1,IF(AD45="Impacto",R45-(R45*AG45),R45),IF(AD45="Impacto",#REF!-(#REF!*AG45),#REF!)))</f>
        <v>0.8</v>
      </c>
      <c r="AL45" s="110" t="str">
        <f ca="1" t="shared" si="4"/>
        <v>Alto</v>
      </c>
      <c r="AM45" s="147" t="s">
        <v>92</v>
      </c>
      <c r="AN45" s="137" t="s">
        <v>692</v>
      </c>
      <c r="AO45" s="138">
        <v>45228</v>
      </c>
      <c r="AP45" s="136" t="s">
        <v>693</v>
      </c>
    </row>
    <row r="46" spans="1:42" ht="228">
      <c r="A46" s="219">
        <v>26</v>
      </c>
      <c r="B46" s="187" t="s">
        <v>40</v>
      </c>
      <c r="C46" s="187" t="s">
        <v>247</v>
      </c>
      <c r="D46" s="185"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187" t="s">
        <v>55</v>
      </c>
      <c r="F46" s="187" t="s">
        <v>664</v>
      </c>
      <c r="G46" s="187" t="s">
        <v>665</v>
      </c>
      <c r="H46" s="187" t="s">
        <v>233</v>
      </c>
      <c r="I46" s="187" t="s">
        <v>295</v>
      </c>
      <c r="J46" s="187" t="s">
        <v>666</v>
      </c>
      <c r="K46" s="189" t="s">
        <v>184</v>
      </c>
      <c r="L46" s="191" t="s">
        <v>57</v>
      </c>
      <c r="M46" s="195" t="s">
        <v>275</v>
      </c>
      <c r="N46" s="193">
        <v>1576</v>
      </c>
      <c r="O46" s="221" t="str">
        <f>_xlfn.IFERROR(VLOOKUP(P46,datos!$AC$2:$AE$7,3,0),"")</f>
        <v>Alta</v>
      </c>
      <c r="P46" s="217">
        <f>+IF(OR(N46="",N46=0),"",IF(N46&lt;=datos!$AD$3,datos!$AC$3,IF(AND(N46&gt;datos!$AD$3,N46&lt;=datos!$AD$4),datos!$AC$4,IF(AND(N46&gt;datos!$AD$4,N46&lt;=datos!$AD$5),datos!$AC$5,IF(AND(N46&gt;datos!$AD$5,N46&lt;=datos!$AD$6),datos!$AC$6,IF(N46&gt;datos!$AD$7,datos!$AC$7,0))))))</f>
        <v>0.8</v>
      </c>
      <c r="Q46" s="215" t="str">
        <f>+HLOOKUP(A46,'Impacto Riesgo de Corrupción'!$D$8:$AY$29,22,0)</f>
        <v>Mayor</v>
      </c>
      <c r="R46" s="217">
        <f>+IF(Q46="","",VLOOKUP(Q46,datos!$AC$12:$AD$15,2,0))</f>
        <v>0.8</v>
      </c>
      <c r="S46" s="197" t="str">
        <f ca="1" t="shared" si="5"/>
        <v>Alto</v>
      </c>
      <c r="T46" s="92">
        <v>1</v>
      </c>
      <c r="U46" s="84" t="s">
        <v>676</v>
      </c>
      <c r="V46" s="83" t="s">
        <v>677</v>
      </c>
      <c r="W46" s="83" t="s">
        <v>678</v>
      </c>
      <c r="X46" s="83" t="s">
        <v>679</v>
      </c>
      <c r="Y46" s="83" t="s">
        <v>680</v>
      </c>
      <c r="Z46" s="83" t="s">
        <v>681</v>
      </c>
      <c r="AA46" s="83" t="s">
        <v>682</v>
      </c>
      <c r="AB46" s="83" t="s">
        <v>683</v>
      </c>
      <c r="AC46" s="83" t="s">
        <v>675</v>
      </c>
      <c r="AD46" s="90" t="str">
        <f>IF(AE46="","",VLOOKUP(AE46,datos!$AT$6:$AU$9,2,0))</f>
        <v>Probabilidad</v>
      </c>
      <c r="AE46" s="84" t="s">
        <v>80</v>
      </c>
      <c r="AF46" s="84" t="s">
        <v>84</v>
      </c>
      <c r="AG46" s="85">
        <f>IF(AND(AE46="",AF46=""),"",IF(AE46="",0,VLOOKUP(AE46,datos!$AP$3:$AR$7,3,0))+IF(AF46="",0,VLOOKUP(AF46,datos!$AP$3:$AR$7,3,0)))</f>
        <v>0.4</v>
      </c>
      <c r="AH46" s="103" t="str">
        <f>IF(OR(AI46="",AI46=0),"",IF(AI46&lt;=datos!$AC$3,datos!$AE$3,IF(AI46&lt;=datos!$AC$4,datos!$AE$4,IF(AI46&lt;=datos!$AC$5,datos!$AE$5,IF(AI46&lt;=datos!$AC$6,datos!$AE$6,IF(AI46&lt;=datos!$AC$7,datos!$AE$7,""))))))</f>
        <v>Media</v>
      </c>
      <c r="AI46" s="104">
        <f>IF(AD46="","",IF(T46=1,IF(AD46="Probabilidad",P46-(P46*AG46),P46),IF(AD46="Probabilidad",#REF!-(#REF!*AG46),#REF!)))</f>
        <v>0.48</v>
      </c>
      <c r="AJ46" s="105" t="str">
        <f>+IF(AK46&lt;=datos!$AD$11,datos!$AC$11,IF(AK46&lt;=datos!$AD$12,datos!$AC$12,IF(AK46&lt;=datos!$AD$13,datos!$AC$13,IF(AK46&lt;=datos!$AD$14,datos!$AC$14,IF(AK46&lt;=datos!$AD$15,datos!$AC$15,"")))))</f>
        <v>Mayor</v>
      </c>
      <c r="AK46" s="104">
        <f>IF(AD46="","",IF(T46=1,IF(AD46="Impacto",R46-(R46*AG46),R46),IF(AD46="Impacto",#REF!-(#REF!*AG46),#REF!)))</f>
        <v>0.8</v>
      </c>
      <c r="AL46" s="105" t="str">
        <f ca="1" t="shared" si="4"/>
        <v>Alto</v>
      </c>
      <c r="AM46" s="224" t="s">
        <v>92</v>
      </c>
      <c r="AN46" s="226" t="s">
        <v>692</v>
      </c>
      <c r="AO46" s="228">
        <v>45228</v>
      </c>
      <c r="AP46" s="199" t="s">
        <v>693</v>
      </c>
    </row>
    <row r="47" spans="1:42" ht="60.75" thickBot="1">
      <c r="A47" s="220"/>
      <c r="B47" s="188"/>
      <c r="C47" s="188"/>
      <c r="D47" s="186"/>
      <c r="E47" s="188"/>
      <c r="F47" s="188"/>
      <c r="G47" s="188"/>
      <c r="H47" s="188"/>
      <c r="I47" s="188"/>
      <c r="J47" s="188"/>
      <c r="K47" s="190"/>
      <c r="L47" s="192"/>
      <c r="M47" s="196"/>
      <c r="N47" s="194"/>
      <c r="O47" s="222"/>
      <c r="P47" s="218"/>
      <c r="Q47" s="216"/>
      <c r="R47" s="218" t="e">
        <f>IF(OR(#REF!=datos!$AB$10,#REF!=datos!$AB$16),"",VLOOKUP(#REF!,datos!$AA$10:$AC$21,3,0))</f>
        <v>#REF!</v>
      </c>
      <c r="S47" s="198"/>
      <c r="T47" s="93">
        <v>2</v>
      </c>
      <c r="U47" s="80" t="s">
        <v>684</v>
      </c>
      <c r="V47" s="79" t="s">
        <v>685</v>
      </c>
      <c r="W47" s="79" t="s">
        <v>686</v>
      </c>
      <c r="X47" s="79" t="s">
        <v>687</v>
      </c>
      <c r="Y47" s="79" t="s">
        <v>688</v>
      </c>
      <c r="Z47" s="79" t="s">
        <v>689</v>
      </c>
      <c r="AA47" s="79" t="s">
        <v>690</v>
      </c>
      <c r="AB47" s="79" t="s">
        <v>691</v>
      </c>
      <c r="AC47" s="79" t="s">
        <v>675</v>
      </c>
      <c r="AD47" s="89" t="str">
        <f>IF(AE47="","",VLOOKUP(AE47,datos!$AT$6:$AU$9,2,0))</f>
        <v>Probabilidad</v>
      </c>
      <c r="AE47" s="80" t="s">
        <v>80</v>
      </c>
      <c r="AF47" s="80" t="s">
        <v>84</v>
      </c>
      <c r="AG47" s="86">
        <f>IF(AND(AE47="",AF47=""),"",IF(AE47="",0,VLOOKUP(AE47,datos!$AP$3:$AR$7,3,0))+IF(AF47="",0,VLOOKUP(AF47,datos!$AP$3:$AR$7,3,0)))</f>
        <v>0.4</v>
      </c>
      <c r="AH47" s="106" t="str">
        <f>IF(OR(AI47="",AI47=0),"",IF(AI47&lt;=datos!$AC$3,datos!$AE$3,IF(AI47&lt;=datos!$AC$4,datos!$AE$4,IF(AI47&lt;=datos!$AC$5,datos!$AE$5,IF(AI47&lt;=datos!$AC$6,datos!$AE$6,IF(AI47&lt;=datos!$AC$7,datos!$AE$7,""))))))</f>
        <v>Baja</v>
      </c>
      <c r="AI47" s="107">
        <f>IF(AD47="","",IF(T47=1,IF(AD47="Probabilidad",P47-(P47*AG47),P47),IF(AD47="Probabilidad",AI46-(AI46*AG47),AI46)))</f>
        <v>0.288</v>
      </c>
      <c r="AJ47" s="108" t="str">
        <f>+IF(AK47&lt;=datos!$AD$11,datos!$AC$11,IF(AK47&lt;=datos!$AD$12,datos!$AC$12,IF(AK47&lt;=datos!$AD$13,datos!$AC$13,IF(AK47&lt;=datos!$AD$14,datos!$AC$14,IF(AK47&lt;=datos!$AD$15,datos!$AC$15,"")))))</f>
        <v>Mayor</v>
      </c>
      <c r="AK47" s="107">
        <f>IF(AD47="","",IF(T47=1,IF(AD47="Impacto",R47-(R47*AG47),R47),IF(AD47="Impacto",AK46-(AK46*AG47),AK46)))</f>
        <v>0.8</v>
      </c>
      <c r="AL47" s="108" t="str">
        <f ca="1" t="shared" si="4"/>
        <v>Alto</v>
      </c>
      <c r="AM47" s="225"/>
      <c r="AN47" s="227"/>
      <c r="AO47" s="229"/>
      <c r="AP47" s="200"/>
    </row>
    <row r="48" spans="1:42" ht="132">
      <c r="A48" s="219">
        <v>27</v>
      </c>
      <c r="B48" s="187" t="s">
        <v>45</v>
      </c>
      <c r="C48" s="187" t="s">
        <v>250</v>
      </c>
      <c r="D48" s="185" t="str">
        <f>_xlfn.IFERROR(VLOOKUP(B48,datos!$B$1:$C$21,2,0),"")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8" s="187" t="s">
        <v>55</v>
      </c>
      <c r="F48" s="187" t="s">
        <v>694</v>
      </c>
      <c r="G48" s="187" t="s">
        <v>695</v>
      </c>
      <c r="H48" s="187" t="s">
        <v>233</v>
      </c>
      <c r="I48" s="187" t="s">
        <v>295</v>
      </c>
      <c r="J48" s="187" t="s">
        <v>696</v>
      </c>
      <c r="K48" s="189" t="s">
        <v>184</v>
      </c>
      <c r="L48" s="191" t="s">
        <v>57</v>
      </c>
      <c r="M48" s="195" t="s">
        <v>12</v>
      </c>
      <c r="N48" s="193">
        <v>10000</v>
      </c>
      <c r="O48" s="221" t="str">
        <f>_xlfn.IFERROR(VLOOKUP(P48,datos!$AC$2:$AE$7,3,0),"")</f>
        <v>Muy Alta</v>
      </c>
      <c r="P48" s="217">
        <f>+IF(OR(N48="",N48=0),"",IF(N48&lt;=datos!$AD$3,datos!$AC$3,IF(AND(N48&gt;datos!$AD$3,N48&lt;=datos!$AD$4),datos!$AC$4,IF(AND(N48&gt;datos!$AD$4,N48&lt;=datos!$AD$5),datos!$AC$5,IF(AND(N48&gt;datos!$AD$5,N48&lt;=datos!$AD$6),datos!$AC$6,IF(N48&gt;datos!$AD$7,datos!$AC$7,0))))))</f>
        <v>1</v>
      </c>
      <c r="Q48" s="215" t="str">
        <f>+HLOOKUP(A48,'Impacto Riesgo de Corrupción'!$D$8:$AY$29,22,0)</f>
        <v>Catastrófico</v>
      </c>
      <c r="R48" s="217">
        <f>+IF(Q48="","",VLOOKUP(Q48,datos!$AC$12:$AD$15,2,0))</f>
        <v>1</v>
      </c>
      <c r="S48" s="197" t="str">
        <f ca="1">_xlfn.IFERROR(INDIRECT("datos!"&amp;HLOOKUP(Q48,calculo_imp,2,FALSE)&amp;VLOOKUP(O48,calculo_prob,2,FALSE)),"")</f>
        <v>Extremo</v>
      </c>
      <c r="T48" s="92">
        <v>1</v>
      </c>
      <c r="U48" s="84" t="s">
        <v>697</v>
      </c>
      <c r="V48" s="83" t="s">
        <v>698</v>
      </c>
      <c r="W48" s="83" t="s">
        <v>433</v>
      </c>
      <c r="X48" s="83" t="s">
        <v>699</v>
      </c>
      <c r="Y48" s="83" t="s">
        <v>700</v>
      </c>
      <c r="Z48" s="83" t="s">
        <v>701</v>
      </c>
      <c r="AA48" s="83" t="s">
        <v>702</v>
      </c>
      <c r="AB48" s="83" t="s">
        <v>703</v>
      </c>
      <c r="AC48" s="149" t="s">
        <v>703</v>
      </c>
      <c r="AD48" s="90" t="str">
        <f>IF(AE48="","",VLOOKUP(AE48,datos!$AT$6:$AU$9,2,0))</f>
        <v>Probabilidad</v>
      </c>
      <c r="AE48" s="84" t="s">
        <v>81</v>
      </c>
      <c r="AF48" s="84" t="s">
        <v>84</v>
      </c>
      <c r="AG48" s="85">
        <f>IF(AND(AE48="",AF48=""),"",IF(AE48="",0,VLOOKUP(AE48,datos!$AP$3:$AR$7,3,0))+IF(AF48="",0,VLOOKUP(AF48,datos!$AP$3:$AR$7,3,0)))</f>
        <v>0.3</v>
      </c>
      <c r="AH48" s="103" t="str">
        <f>IF(OR(AI48="",AI48=0),"",IF(AI48&lt;=datos!$AC$3,datos!$AE$3,IF(AI48&lt;=datos!$AC$4,datos!$AE$4,IF(AI48&lt;=datos!$AC$5,datos!$AE$5,IF(AI48&lt;=datos!$AC$6,datos!$AE$6,IF(AI48&lt;=datos!$AC$7,datos!$AE$7,""))))))</f>
        <v>Alta</v>
      </c>
      <c r="AI48" s="104">
        <f>IF(AD48="","",IF(T48=1,IF(AD48="Probabilidad",P48-(P48*AG48),P48),IF(AD48="Probabilidad",#REF!-(#REF!*AG48),#REF!)))</f>
        <v>0.7</v>
      </c>
      <c r="AJ48" s="105" t="str">
        <f>+IF(AK48&lt;=datos!$AD$11,datos!$AC$11,IF(AK48&lt;=datos!$AD$12,datos!$AC$12,IF(AK48&lt;=datos!$AD$13,datos!$AC$13,IF(AK48&lt;=datos!$AD$14,datos!$AC$14,IF(AK48&lt;=datos!$AD$15,datos!$AC$15,"")))))</f>
        <v>Catastrófico</v>
      </c>
      <c r="AK48" s="104">
        <f>IF(AD48="","",IF(T48=1,IF(AD48="Impacto",R48-(R48*AG48),R48),IF(AD48="Impacto",#REF!-(#REF!*AG48),#REF!)))</f>
        <v>1</v>
      </c>
      <c r="AL48" s="105" t="str">
        <f ca="1" t="shared" si="4"/>
        <v>Extremo</v>
      </c>
      <c r="AM48" s="224" t="s">
        <v>92</v>
      </c>
      <c r="AN48" s="226" t="s">
        <v>709</v>
      </c>
      <c r="AO48" s="228">
        <v>45291</v>
      </c>
      <c r="AP48" s="199" t="s">
        <v>710</v>
      </c>
    </row>
    <row r="49" spans="1:42" ht="132.75" thickBot="1">
      <c r="A49" s="220"/>
      <c r="B49" s="188"/>
      <c r="C49" s="188"/>
      <c r="D49" s="186"/>
      <c r="E49" s="188"/>
      <c r="F49" s="188"/>
      <c r="G49" s="188"/>
      <c r="H49" s="188"/>
      <c r="I49" s="188"/>
      <c r="J49" s="188"/>
      <c r="K49" s="190"/>
      <c r="L49" s="192"/>
      <c r="M49" s="196"/>
      <c r="N49" s="194"/>
      <c r="O49" s="222"/>
      <c r="P49" s="218"/>
      <c r="Q49" s="216"/>
      <c r="R49" s="218" t="e">
        <f>IF(OR(#REF!=datos!$AB$10,#REF!=datos!$AB$16),"",VLOOKUP(#REF!,datos!$AA$10:$AC$21,3,0))</f>
        <v>#REF!</v>
      </c>
      <c r="S49" s="198"/>
      <c r="T49" s="93">
        <v>2</v>
      </c>
      <c r="U49" s="80" t="s">
        <v>704</v>
      </c>
      <c r="V49" s="79" t="s">
        <v>698</v>
      </c>
      <c r="W49" s="79" t="s">
        <v>433</v>
      </c>
      <c r="X49" s="79" t="s">
        <v>705</v>
      </c>
      <c r="Y49" s="79" t="s">
        <v>706</v>
      </c>
      <c r="Z49" s="79" t="s">
        <v>707</v>
      </c>
      <c r="AA49" s="79" t="s">
        <v>708</v>
      </c>
      <c r="AB49" s="79" t="s">
        <v>703</v>
      </c>
      <c r="AC49" s="148" t="s">
        <v>703</v>
      </c>
      <c r="AD49" s="89" t="str">
        <f>IF(AE49="","",VLOOKUP(AE49,datos!$AT$6:$AU$9,2,0))</f>
        <v>Probabilidad</v>
      </c>
      <c r="AE49" s="80" t="s">
        <v>80</v>
      </c>
      <c r="AF49" s="80" t="s">
        <v>84</v>
      </c>
      <c r="AG49" s="86">
        <f>IF(AND(AE49="",AF49=""),"",IF(AE49="",0,VLOOKUP(AE49,datos!$AP$3:$AR$7,3,0))+IF(AF49="",0,VLOOKUP(AF49,datos!$AP$3:$AR$7,3,0)))</f>
        <v>0.4</v>
      </c>
      <c r="AH49" s="106" t="str">
        <f>IF(OR(AI49="",AI49=0),"",IF(AI49&lt;=datos!$AC$3,datos!$AE$3,IF(AI49&lt;=datos!$AC$4,datos!$AE$4,IF(AI49&lt;=datos!$AC$5,datos!$AE$5,IF(AI49&lt;=datos!$AC$6,datos!$AE$6,IF(AI49&lt;=datos!$AC$7,datos!$AE$7,""))))))</f>
        <v>Media</v>
      </c>
      <c r="AI49" s="107">
        <f aca="true" t="shared" si="6" ref="AI49:AI62">IF(AD49="","",IF(T49=1,IF(AD49="Probabilidad",P49-(P49*AG49),P49),IF(AD49="Probabilidad",AI48-(AI48*AG49),AI48)))</f>
        <v>0.42</v>
      </c>
      <c r="AJ49" s="108" t="str">
        <f>+IF(AK49&lt;=datos!$AD$11,datos!$AC$11,IF(AK49&lt;=datos!$AD$12,datos!$AC$12,IF(AK49&lt;=datos!$AD$13,datos!$AC$13,IF(AK49&lt;=datos!$AD$14,datos!$AC$14,IF(AK49&lt;=datos!$AD$15,datos!$AC$15,"")))))</f>
        <v>Catastrófico</v>
      </c>
      <c r="AK49" s="107">
        <f aca="true" t="shared" si="7" ref="AK49:AK62">IF(AD49="","",IF(T49=1,IF(AD49="Impacto",R49-(R49*AG49),R49),IF(AD49="Impacto",AK48-(AK48*AG49),AK48)))</f>
        <v>1</v>
      </c>
      <c r="AL49" s="108" t="str">
        <f ca="1" t="shared" si="4"/>
        <v>Extremo</v>
      </c>
      <c r="AM49" s="225"/>
      <c r="AN49" s="227"/>
      <c r="AO49" s="229"/>
      <c r="AP49" s="200"/>
    </row>
    <row r="50" spans="1:42" ht="240">
      <c r="A50" s="219">
        <v>28</v>
      </c>
      <c r="B50" s="187" t="s">
        <v>44</v>
      </c>
      <c r="C50" s="187" t="s">
        <v>247</v>
      </c>
      <c r="D50" s="185" t="str">
        <f>_xlfn.IFERROR(VLOOKUP(B50,datos!$B$1:$C$21,2,0),"")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0" s="187" t="s">
        <v>55</v>
      </c>
      <c r="F50" s="187" t="s">
        <v>711</v>
      </c>
      <c r="G50" s="187" t="s">
        <v>712</v>
      </c>
      <c r="H50" s="187" t="s">
        <v>233</v>
      </c>
      <c r="I50" s="187" t="s">
        <v>295</v>
      </c>
      <c r="J50" s="187" t="s">
        <v>713</v>
      </c>
      <c r="K50" s="189" t="s">
        <v>184</v>
      </c>
      <c r="L50" s="191" t="s">
        <v>57</v>
      </c>
      <c r="M50" s="195" t="s">
        <v>275</v>
      </c>
      <c r="N50" s="193">
        <v>100</v>
      </c>
      <c r="O50" s="221" t="str">
        <f>_xlfn.IFERROR(VLOOKUP(P50,datos!$AC$2:$AE$7,3,0),"")</f>
        <v>Media</v>
      </c>
      <c r="P50" s="217">
        <f>+IF(OR(N50="",N50=0),"",IF(N50&lt;=datos!$AD$3,datos!$AC$3,IF(AND(N50&gt;datos!$AD$3,N50&lt;=datos!$AD$4),datos!$AC$4,IF(AND(N50&gt;datos!$AD$4,N50&lt;=datos!$AD$5),datos!$AC$5,IF(AND(N50&gt;datos!$AD$5,N50&lt;=datos!$AD$6),datos!$AC$6,IF(N50&gt;datos!$AD$7,datos!$AC$7,0))))))</f>
        <v>0.6</v>
      </c>
      <c r="Q50" s="215" t="str">
        <f>+HLOOKUP(A50,'Impacto Riesgo de Corrupción'!$D$8:$AY$29,22,0)</f>
        <v>Mayor</v>
      </c>
      <c r="R50" s="217">
        <f>+IF(Q50="","",VLOOKUP(Q50,datos!$AC$12:$AD$15,2,0))</f>
        <v>0.8</v>
      </c>
      <c r="S50" s="197" t="str">
        <f ca="1">_xlfn.IFERROR(INDIRECT("datos!"&amp;HLOOKUP(Q50,calculo_imp,2,FALSE)&amp;VLOOKUP(O50,calculo_prob,2,FALSE)),"")</f>
        <v>Alto</v>
      </c>
      <c r="T50" s="92">
        <v>1</v>
      </c>
      <c r="U50" s="84" t="s">
        <v>714</v>
      </c>
      <c r="V50" s="83" t="s">
        <v>715</v>
      </c>
      <c r="W50" s="83" t="s">
        <v>716</v>
      </c>
      <c r="X50" s="83" t="s">
        <v>717</v>
      </c>
      <c r="Y50" s="83" t="s">
        <v>718</v>
      </c>
      <c r="Z50" s="83" t="s">
        <v>719</v>
      </c>
      <c r="AA50" s="83" t="s">
        <v>720</v>
      </c>
      <c r="AB50" s="83" t="s">
        <v>721</v>
      </c>
      <c r="AC50" s="83" t="s">
        <v>722</v>
      </c>
      <c r="AD50" s="90" t="str">
        <f>IF(AE50="","",VLOOKUP(AE50,datos!$AT$6:$AU$9,2,0))</f>
        <v>Probabilidad</v>
      </c>
      <c r="AE50" s="84" t="s">
        <v>80</v>
      </c>
      <c r="AF50" s="84" t="s">
        <v>84</v>
      </c>
      <c r="AG50" s="85">
        <f>IF(AND(AE50="",AF50=""),"",IF(AE50="",0,VLOOKUP(AE50,datos!$AP$3:$AR$7,3,0))+IF(AF50="",0,VLOOKUP(AF50,datos!$AP$3:$AR$7,3,0)))</f>
        <v>0.4</v>
      </c>
      <c r="AH50" s="103" t="str">
        <f>IF(OR(AI50="",AI50=0),"",IF(AI50&lt;=datos!$AC$3,datos!$AE$3,IF(AI50&lt;=datos!$AC$4,datos!$AE$4,IF(AI50&lt;=datos!$AC$5,datos!$AE$5,IF(AI50&lt;=datos!$AC$6,datos!$AE$6,IF(AI50&lt;=datos!$AC$7,datos!$AE$7,""))))))</f>
        <v>Baja</v>
      </c>
      <c r="AI50" s="104">
        <f>IF(AD50="","",IF(T50=1,IF(AD50="Probabilidad",P50-(P50*AG50),P50),IF(AD50="Probabilidad",#REF!-(#REF!*AG50),#REF!)))</f>
        <v>0.36</v>
      </c>
      <c r="AJ50" s="105" t="str">
        <f>+IF(AK50&lt;=datos!$AD$11,datos!$AC$11,IF(AK50&lt;=datos!$AD$12,datos!$AC$12,IF(AK50&lt;=datos!$AD$13,datos!$AC$13,IF(AK50&lt;=datos!$AD$14,datos!$AC$14,IF(AK50&lt;=datos!$AD$15,datos!$AC$15,"")))))</f>
        <v>Mayor</v>
      </c>
      <c r="AK50" s="104">
        <f>IF(AD50="","",IF(T50=1,IF(AD50="Impacto",R50-(R50*AG50),R50),IF(AD50="Impacto",#REF!-(#REF!*AG50),#REF!)))</f>
        <v>0.8</v>
      </c>
      <c r="AL50" s="105" t="str">
        <f aca="true" ca="1" t="shared" si="8" ref="AL50:AL68">_xlfn.IFERROR(INDIRECT("datos!"&amp;HLOOKUP(AJ50,calculo_imp,2,FALSE)&amp;VLOOKUP(AH50,calculo_prob,2,FALSE)),"")</f>
        <v>Alto</v>
      </c>
      <c r="AM50" s="224" t="s">
        <v>92</v>
      </c>
      <c r="AN50" s="226" t="s">
        <v>726</v>
      </c>
      <c r="AO50" s="228">
        <v>45291</v>
      </c>
      <c r="AP50" s="199" t="s">
        <v>727</v>
      </c>
    </row>
    <row r="51" spans="1:42" ht="240.75" thickBot="1">
      <c r="A51" s="220"/>
      <c r="B51" s="188"/>
      <c r="C51" s="188"/>
      <c r="D51" s="186"/>
      <c r="E51" s="188"/>
      <c r="F51" s="188"/>
      <c r="G51" s="188"/>
      <c r="H51" s="188"/>
      <c r="I51" s="188"/>
      <c r="J51" s="188"/>
      <c r="K51" s="190"/>
      <c r="L51" s="192"/>
      <c r="M51" s="196"/>
      <c r="N51" s="194"/>
      <c r="O51" s="222"/>
      <c r="P51" s="218"/>
      <c r="Q51" s="216"/>
      <c r="R51" s="218" t="e">
        <f>IF(OR(#REF!=datos!$AB$10,#REF!=datos!$AB$16),"",VLOOKUP(#REF!,datos!$AA$10:$AC$21,3,0))</f>
        <v>#REF!</v>
      </c>
      <c r="S51" s="198"/>
      <c r="T51" s="93">
        <v>2</v>
      </c>
      <c r="U51" s="80" t="s">
        <v>723</v>
      </c>
      <c r="V51" s="79" t="s">
        <v>715</v>
      </c>
      <c r="W51" s="79" t="s">
        <v>716</v>
      </c>
      <c r="X51" s="79" t="s">
        <v>724</v>
      </c>
      <c r="Y51" s="79" t="s">
        <v>725</v>
      </c>
      <c r="Z51" s="79" t="s">
        <v>719</v>
      </c>
      <c r="AA51" s="79" t="s">
        <v>720</v>
      </c>
      <c r="AB51" s="79" t="s">
        <v>721</v>
      </c>
      <c r="AC51" s="79" t="s">
        <v>722</v>
      </c>
      <c r="AD51" s="89" t="str">
        <f>IF(AE51="","",VLOOKUP(AE51,datos!$AT$6:$AU$9,2,0))</f>
        <v>Probabilidad</v>
      </c>
      <c r="AE51" s="80" t="s">
        <v>80</v>
      </c>
      <c r="AF51" s="80" t="s">
        <v>84</v>
      </c>
      <c r="AG51" s="86">
        <f>IF(AND(AE51="",AF51=""),"",IF(AE51="",0,VLOOKUP(AE51,datos!$AP$3:$AR$7,3,0))+IF(AF51="",0,VLOOKUP(AF51,datos!$AP$3:$AR$7,3,0)))</f>
        <v>0.4</v>
      </c>
      <c r="AH51" s="106" t="str">
        <f>IF(OR(AI51="",AI51=0),"",IF(AI51&lt;=datos!$AC$3,datos!$AE$3,IF(AI51&lt;=datos!$AC$4,datos!$AE$4,IF(AI51&lt;=datos!$AC$5,datos!$AE$5,IF(AI51&lt;=datos!$AC$6,datos!$AE$6,IF(AI51&lt;=datos!$AC$7,datos!$AE$7,""))))))</f>
        <v>Baja</v>
      </c>
      <c r="AI51" s="107">
        <f t="shared" si="6"/>
        <v>0.216</v>
      </c>
      <c r="AJ51" s="108" t="str">
        <f>+IF(AK51&lt;=datos!$AD$11,datos!$AC$11,IF(AK51&lt;=datos!$AD$12,datos!$AC$12,IF(AK51&lt;=datos!$AD$13,datos!$AC$13,IF(AK51&lt;=datos!$AD$14,datos!$AC$14,IF(AK51&lt;=datos!$AD$15,datos!$AC$15,"")))))</f>
        <v>Mayor</v>
      </c>
      <c r="AK51" s="107">
        <f t="shared" si="7"/>
        <v>0.8</v>
      </c>
      <c r="AL51" s="108" t="str">
        <f ca="1" t="shared" si="8"/>
        <v>Alto</v>
      </c>
      <c r="AM51" s="225"/>
      <c r="AN51" s="227"/>
      <c r="AO51" s="229"/>
      <c r="AP51" s="200"/>
    </row>
    <row r="52" spans="1:42" ht="60">
      <c r="A52" s="230">
        <v>29</v>
      </c>
      <c r="B52" s="231" t="s">
        <v>44</v>
      </c>
      <c r="C52" s="187" t="s">
        <v>247</v>
      </c>
      <c r="D52" s="185" t="str">
        <f>_xlfn.IFERROR(VLOOKUP(B52,datos!$B$1:$C$21,2,0),"")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2" s="231" t="s">
        <v>55</v>
      </c>
      <c r="F52" s="231" t="s">
        <v>728</v>
      </c>
      <c r="G52" s="231" t="s">
        <v>729</v>
      </c>
      <c r="H52" s="187" t="s">
        <v>232</v>
      </c>
      <c r="I52" s="187" t="s">
        <v>730</v>
      </c>
      <c r="J52" s="231" t="s">
        <v>731</v>
      </c>
      <c r="K52" s="189" t="s">
        <v>184</v>
      </c>
      <c r="L52" s="232" t="s">
        <v>57</v>
      </c>
      <c r="M52" s="195" t="s">
        <v>275</v>
      </c>
      <c r="N52" s="193">
        <v>24</v>
      </c>
      <c r="O52" s="221" t="str">
        <f>_xlfn.IFERROR(VLOOKUP(P52,datos!$AC$2:$AE$7,3,0),"")</f>
        <v>Baja</v>
      </c>
      <c r="P52" s="217">
        <f>+IF(OR(N52="",N52=0),"",IF(N52&lt;=datos!$AD$3,datos!$AC$3,IF(AND(N52&gt;datos!$AD$3,N52&lt;=datos!$AD$4),datos!$AC$4,IF(AND(N52&gt;datos!$AD$4,N52&lt;=datos!$AD$5),datos!$AC$5,IF(AND(N52&gt;datos!$AD$5,N52&lt;=datos!$AD$6),datos!$AC$6,IF(N52&gt;datos!$AD$7,datos!$AC$7,0))))))</f>
        <v>0.4</v>
      </c>
      <c r="Q52" s="215" t="str">
        <f>+HLOOKUP(A52,'Impacto Riesgo de Corrupción'!$D$8:$AY$29,22,0)</f>
        <v>Mayor</v>
      </c>
      <c r="R52" s="217">
        <f>+IF(Q52="","",VLOOKUP(Q52,datos!$AC$12:$AD$15,2,0))</f>
        <v>0.8</v>
      </c>
      <c r="S52" s="197" t="str">
        <f ca="1">_xlfn.IFERROR(INDIRECT("datos!"&amp;HLOOKUP(Q52,calculo_imp,2,FALSE)&amp;VLOOKUP(O52,calculo_prob,2,FALSE)),"")</f>
        <v>Alto</v>
      </c>
      <c r="T52" s="95">
        <v>1</v>
      </c>
      <c r="U52" s="82" t="s">
        <v>735</v>
      </c>
      <c r="V52" s="81" t="s">
        <v>736</v>
      </c>
      <c r="W52" s="81" t="s">
        <v>737</v>
      </c>
      <c r="X52" s="81" t="s">
        <v>738</v>
      </c>
      <c r="Y52" s="81" t="s">
        <v>739</v>
      </c>
      <c r="Z52" s="81" t="s">
        <v>740</v>
      </c>
      <c r="AA52" s="81" t="s">
        <v>741</v>
      </c>
      <c r="AB52" s="81" t="s">
        <v>742</v>
      </c>
      <c r="AC52" s="81" t="s">
        <v>743</v>
      </c>
      <c r="AD52" s="88" t="str">
        <f>IF(AE52="","",VLOOKUP(AE52,datos!$AT$6:$AU$9,2,0))</f>
        <v>Probabilidad</v>
      </c>
      <c r="AE52" s="82" t="s">
        <v>80</v>
      </c>
      <c r="AF52" s="82" t="s">
        <v>84</v>
      </c>
      <c r="AG52" s="87">
        <f>IF(AND(AE52="",AF52=""),"",IF(AE52="",0,VLOOKUP(AE52,datos!$AP$3:$AR$7,3,0))+IF(AF52="",0,VLOOKUP(AF52,datos!$AP$3:$AR$7,3,0)))</f>
        <v>0.4</v>
      </c>
      <c r="AH52" s="112" t="str">
        <f>IF(OR(AI52="",AI52=0),"",IF(AI52&lt;=datos!$AC$3,datos!$AE$3,IF(AI52&lt;=datos!$AC$4,datos!$AE$4,IF(AI52&lt;=datos!$AC$5,datos!$AE$5,IF(AI52&lt;=datos!$AC$6,datos!$AE$6,IF(AI52&lt;=datos!$AC$7,datos!$AE$7,""))))))</f>
        <v>Baja</v>
      </c>
      <c r="AI52" s="109">
        <f>IF(AD52="","",IF(T52=1,IF(AD52="Probabilidad",P52-(P52*AG52),P52),IF(AD52="Probabilidad",#REF!-(#REF!*AG52),#REF!)))</f>
        <v>0.24</v>
      </c>
      <c r="AJ52" s="110" t="str">
        <f>+IF(AK52&lt;=datos!$AD$11,datos!$AC$11,IF(AK52&lt;=datos!$AD$12,datos!$AC$12,IF(AK52&lt;=datos!$AD$13,datos!$AC$13,IF(AK52&lt;=datos!$AD$14,datos!$AC$14,IF(AK52&lt;=datos!$AD$15,datos!$AC$15,"")))))</f>
        <v>Mayor</v>
      </c>
      <c r="AK52" s="109">
        <f>IF(AD52="","",IF(T52=1,IF(AD52="Impacto",R52-(R52*AG52),R52),IF(AD52="Impacto",#REF!-(#REF!*AG52),#REF!)))</f>
        <v>0.8</v>
      </c>
      <c r="AL52" s="110" t="str">
        <f ca="1" t="shared" si="8"/>
        <v>Alto</v>
      </c>
      <c r="AM52" s="224" t="s">
        <v>92</v>
      </c>
      <c r="AN52" s="226" t="s">
        <v>768</v>
      </c>
      <c r="AO52" s="228">
        <v>45291</v>
      </c>
      <c r="AP52" s="200" t="s">
        <v>769</v>
      </c>
    </row>
    <row r="53" spans="1:42" ht="72">
      <c r="A53" s="220"/>
      <c r="B53" s="188"/>
      <c r="C53" s="188"/>
      <c r="D53" s="186"/>
      <c r="E53" s="188"/>
      <c r="F53" s="188"/>
      <c r="G53" s="188"/>
      <c r="H53" s="188"/>
      <c r="I53" s="188"/>
      <c r="J53" s="188"/>
      <c r="K53" s="190"/>
      <c r="L53" s="192"/>
      <c r="M53" s="196"/>
      <c r="N53" s="194"/>
      <c r="O53" s="222"/>
      <c r="P53" s="218"/>
      <c r="Q53" s="216"/>
      <c r="R53" s="218" t="e">
        <f>IF(OR(#REF!=datos!$AB$10,#REF!=datos!$AB$16),"",VLOOKUP(#REF!,datos!$AA$10:$AC$21,3,0))</f>
        <v>#REF!</v>
      </c>
      <c r="S53" s="198"/>
      <c r="T53" s="93">
        <v>2</v>
      </c>
      <c r="U53" s="80" t="s">
        <v>744</v>
      </c>
      <c r="V53" s="79" t="s">
        <v>736</v>
      </c>
      <c r="W53" s="79" t="s">
        <v>745</v>
      </c>
      <c r="X53" s="79" t="s">
        <v>746</v>
      </c>
      <c r="Y53" s="79" t="s">
        <v>747</v>
      </c>
      <c r="Z53" s="79" t="s">
        <v>748</v>
      </c>
      <c r="AA53" s="79" t="s">
        <v>749</v>
      </c>
      <c r="AB53" s="79" t="s">
        <v>742</v>
      </c>
      <c r="AC53" s="79" t="s">
        <v>743</v>
      </c>
      <c r="AD53" s="89" t="str">
        <f>IF(AE53="","",VLOOKUP(AE53,datos!$AT$6:$AU$9,2,0))</f>
        <v>Probabilidad</v>
      </c>
      <c r="AE53" s="80" t="s">
        <v>80</v>
      </c>
      <c r="AF53" s="80" t="s">
        <v>84</v>
      </c>
      <c r="AG53" s="86">
        <f>IF(AND(AE53="",AF53=""),"",IF(AE53="",0,VLOOKUP(AE53,datos!$AP$3:$AR$7,3,0))+IF(AF53="",0,VLOOKUP(AF53,datos!$AP$3:$AR$7,3,0)))</f>
        <v>0.4</v>
      </c>
      <c r="AH53" s="106" t="str">
        <f>IF(OR(AI53="",AI53=0),"",IF(AI53&lt;=datos!$AC$3,datos!$AE$3,IF(AI53&lt;=datos!$AC$4,datos!$AE$4,IF(AI53&lt;=datos!$AC$5,datos!$AE$5,IF(AI53&lt;=datos!$AC$6,datos!$AE$6,IF(AI53&lt;=datos!$AC$7,datos!$AE$7,""))))))</f>
        <v>Muy Baja</v>
      </c>
      <c r="AI53" s="107">
        <f t="shared" si="6"/>
        <v>0.144</v>
      </c>
      <c r="AJ53" s="108" t="str">
        <f>+IF(AK53&lt;=datos!$AD$11,datos!$AC$11,IF(AK53&lt;=datos!$AD$12,datos!$AC$12,IF(AK53&lt;=datos!$AD$13,datos!$AC$13,IF(AK53&lt;=datos!$AD$14,datos!$AC$14,IF(AK53&lt;=datos!$AD$15,datos!$AC$15,"")))))</f>
        <v>Mayor</v>
      </c>
      <c r="AK53" s="107">
        <f t="shared" si="7"/>
        <v>0.8</v>
      </c>
      <c r="AL53" s="108" t="str">
        <f ca="1" t="shared" si="8"/>
        <v>Alto</v>
      </c>
      <c r="AM53" s="225"/>
      <c r="AN53" s="227"/>
      <c r="AO53" s="229"/>
      <c r="AP53" s="200"/>
    </row>
    <row r="54" spans="1:42" ht="72">
      <c r="A54" s="220"/>
      <c r="B54" s="188"/>
      <c r="C54" s="188"/>
      <c r="D54" s="186"/>
      <c r="E54" s="188"/>
      <c r="F54" s="188"/>
      <c r="G54" s="188"/>
      <c r="H54" s="188"/>
      <c r="I54" s="188"/>
      <c r="J54" s="188"/>
      <c r="K54" s="190"/>
      <c r="L54" s="192"/>
      <c r="M54" s="196"/>
      <c r="N54" s="194"/>
      <c r="O54" s="222"/>
      <c r="P54" s="218"/>
      <c r="Q54" s="216"/>
      <c r="R54" s="218" t="e">
        <f>IF(OR(#REF!=datos!$AB$10,#REF!=datos!$AB$16),"",VLOOKUP(#REF!,datos!$AA$10:$AC$21,3,0))</f>
        <v>#REF!</v>
      </c>
      <c r="S54" s="198"/>
      <c r="T54" s="93">
        <v>3</v>
      </c>
      <c r="U54" s="80" t="s">
        <v>750</v>
      </c>
      <c r="V54" s="79" t="s">
        <v>751</v>
      </c>
      <c r="W54" s="79" t="s">
        <v>745</v>
      </c>
      <c r="X54" s="79" t="s">
        <v>752</v>
      </c>
      <c r="Y54" s="79" t="s">
        <v>753</v>
      </c>
      <c r="Z54" s="79" t="s">
        <v>754</v>
      </c>
      <c r="AA54" s="79" t="s">
        <v>755</v>
      </c>
      <c r="AB54" s="79" t="s">
        <v>742</v>
      </c>
      <c r="AC54" s="79" t="s">
        <v>743</v>
      </c>
      <c r="AD54" s="89" t="str">
        <f>IF(AE54="","",VLOOKUP(AE54,datos!$AT$6:$AU$9,2,0))</f>
        <v>Probabilidad</v>
      </c>
      <c r="AE54" s="80" t="s">
        <v>80</v>
      </c>
      <c r="AF54" s="80" t="s">
        <v>84</v>
      </c>
      <c r="AG54" s="86">
        <f>IF(AND(AE54="",AF54=""),"",IF(AE54="",0,VLOOKUP(AE54,datos!$AP$3:$AR$7,3,0))+IF(AF54="",0,VLOOKUP(AF54,datos!$AP$3:$AR$7,3,0)))</f>
        <v>0.4</v>
      </c>
      <c r="AH54" s="106" t="str">
        <f>IF(OR(AI54="",AI54=0),"",IF(AI54&lt;=datos!$AC$3,datos!$AE$3,IF(AI54&lt;=datos!$AC$4,datos!$AE$4,IF(AI54&lt;=datos!$AC$5,datos!$AE$5,IF(AI54&lt;=datos!$AC$6,datos!$AE$6,IF(AI54&lt;=datos!$AC$7,datos!$AE$7,""))))))</f>
        <v>Muy Baja</v>
      </c>
      <c r="AI54" s="107">
        <f t="shared" si="6"/>
        <v>0.08639999999999999</v>
      </c>
      <c r="AJ54" s="108" t="str">
        <f>+IF(AK54&lt;=datos!$AD$11,datos!$AC$11,IF(AK54&lt;=datos!$AD$12,datos!$AC$12,IF(AK54&lt;=datos!$AD$13,datos!$AC$13,IF(AK54&lt;=datos!$AD$14,datos!$AC$14,IF(AK54&lt;=datos!$AD$15,datos!$AC$15,"")))))</f>
        <v>Mayor</v>
      </c>
      <c r="AK54" s="107">
        <f t="shared" si="7"/>
        <v>0.8</v>
      </c>
      <c r="AL54" s="108" t="str">
        <f ca="1" t="shared" si="8"/>
        <v>Alto</v>
      </c>
      <c r="AM54" s="225"/>
      <c r="AN54" s="227"/>
      <c r="AO54" s="229"/>
      <c r="AP54" s="200"/>
    </row>
    <row r="55" spans="1:42" ht="96">
      <c r="A55" s="220"/>
      <c r="B55" s="188"/>
      <c r="C55" s="188"/>
      <c r="D55" s="186"/>
      <c r="E55" s="188"/>
      <c r="F55" s="188"/>
      <c r="G55" s="188"/>
      <c r="H55" s="188"/>
      <c r="I55" s="188"/>
      <c r="J55" s="188"/>
      <c r="K55" s="190"/>
      <c r="L55" s="192"/>
      <c r="M55" s="196"/>
      <c r="N55" s="194"/>
      <c r="O55" s="222"/>
      <c r="P55" s="218"/>
      <c r="Q55" s="216"/>
      <c r="R55" s="218" t="e">
        <f>IF(OR(#REF!=datos!$AB$10,#REF!=datos!$AB$16),"",VLOOKUP(#REF!,datos!$AA$10:$AC$21,3,0))</f>
        <v>#REF!</v>
      </c>
      <c r="S55" s="198"/>
      <c r="T55" s="93">
        <v>4</v>
      </c>
      <c r="U55" s="80" t="s">
        <v>756</v>
      </c>
      <c r="V55" s="79" t="s">
        <v>736</v>
      </c>
      <c r="W55" s="79" t="s">
        <v>745</v>
      </c>
      <c r="X55" s="79" t="s">
        <v>757</v>
      </c>
      <c r="Y55" s="79" t="s">
        <v>758</v>
      </c>
      <c r="Z55" s="79" t="s">
        <v>759</v>
      </c>
      <c r="AA55" s="79" t="s">
        <v>760</v>
      </c>
      <c r="AB55" s="79" t="s">
        <v>742</v>
      </c>
      <c r="AC55" s="79" t="s">
        <v>743</v>
      </c>
      <c r="AD55" s="89" t="str">
        <f>IF(AE55="","",VLOOKUP(AE55,datos!$AT$6:$AU$9,2,0))</f>
        <v>Probabilidad</v>
      </c>
      <c r="AE55" s="80" t="s">
        <v>80</v>
      </c>
      <c r="AF55" s="80" t="s">
        <v>84</v>
      </c>
      <c r="AG55" s="86">
        <f>IF(AND(AE55="",AF55=""),"",IF(AE55="",0,VLOOKUP(AE55,datos!$AP$3:$AR$7,3,0))+IF(AF55="",0,VLOOKUP(AF55,datos!$AP$3:$AR$7,3,0)))</f>
        <v>0.4</v>
      </c>
      <c r="AH55" s="106" t="str">
        <f>IF(OR(AI55="",AI55=0),"",IF(AI55&lt;=datos!$AC$3,datos!$AE$3,IF(AI55&lt;=datos!$AC$4,datos!$AE$4,IF(AI55&lt;=datos!$AC$5,datos!$AE$5,IF(AI55&lt;=datos!$AC$6,datos!$AE$6,IF(AI55&lt;=datos!$AC$7,datos!$AE$7,""))))))</f>
        <v>Muy Baja</v>
      </c>
      <c r="AI55" s="107">
        <f t="shared" si="6"/>
        <v>0.05183999999999999</v>
      </c>
      <c r="AJ55" s="108" t="str">
        <f>+IF(AK55&lt;=datos!$AD$11,datos!$AC$11,IF(AK55&lt;=datos!$AD$12,datos!$AC$12,IF(AK55&lt;=datos!$AD$13,datos!$AC$13,IF(AK55&lt;=datos!$AD$14,datos!$AC$14,IF(AK55&lt;=datos!$AD$15,datos!$AC$15,"")))))</f>
        <v>Mayor</v>
      </c>
      <c r="AK55" s="107">
        <f t="shared" si="7"/>
        <v>0.8</v>
      </c>
      <c r="AL55" s="108" t="str">
        <f ca="1" t="shared" si="8"/>
        <v>Alto</v>
      </c>
      <c r="AM55" s="225"/>
      <c r="AN55" s="227"/>
      <c r="AO55" s="229"/>
      <c r="AP55" s="200"/>
    </row>
    <row r="56" spans="1:42" ht="96.75" thickBot="1">
      <c r="A56" s="220"/>
      <c r="B56" s="188"/>
      <c r="C56" s="235"/>
      <c r="D56" s="236"/>
      <c r="E56" s="188"/>
      <c r="F56" s="188"/>
      <c r="G56" s="188"/>
      <c r="H56" s="235"/>
      <c r="I56" s="235"/>
      <c r="J56" s="188"/>
      <c r="K56" s="237"/>
      <c r="L56" s="192"/>
      <c r="M56" s="196"/>
      <c r="N56" s="194"/>
      <c r="O56" s="222"/>
      <c r="P56" s="218"/>
      <c r="Q56" s="216"/>
      <c r="R56" s="218" t="e">
        <f>IF(OR(#REF!=datos!$AB$10,#REF!=datos!$AB$16),"",VLOOKUP(#REF!,datos!$AA$10:$AC$21,3,0))</f>
        <v>#REF!</v>
      </c>
      <c r="S56" s="198"/>
      <c r="T56" s="93">
        <v>5</v>
      </c>
      <c r="U56" s="80" t="s">
        <v>761</v>
      </c>
      <c r="V56" s="79" t="s">
        <v>736</v>
      </c>
      <c r="W56" s="79" t="s">
        <v>737</v>
      </c>
      <c r="X56" s="79" t="s">
        <v>762</v>
      </c>
      <c r="Y56" s="79" t="s">
        <v>763</v>
      </c>
      <c r="Z56" s="79" t="s">
        <v>764</v>
      </c>
      <c r="AA56" s="79" t="s">
        <v>765</v>
      </c>
      <c r="AB56" s="79" t="s">
        <v>742</v>
      </c>
      <c r="AC56" s="79" t="s">
        <v>743</v>
      </c>
      <c r="AD56" s="89" t="str">
        <f>IF(AE56="","",VLOOKUP(AE56,datos!$AT$6:$AU$9,2,0))</f>
        <v>Probabilidad</v>
      </c>
      <c r="AE56" s="80" t="s">
        <v>80</v>
      </c>
      <c r="AF56" s="80" t="s">
        <v>84</v>
      </c>
      <c r="AG56" s="86">
        <f>IF(AND(AE56="",AF56=""),"",IF(AE56="",0,VLOOKUP(AE56,datos!$AP$3:$AR$7,3,0))+IF(AF56="",0,VLOOKUP(AF56,datos!$AP$3:$AR$7,3,0)))</f>
        <v>0.4</v>
      </c>
      <c r="AH56" s="106" t="str">
        <f>IF(OR(AI56="",AI56=0),"",IF(AI56&lt;=datos!$AC$3,datos!$AE$3,IF(AI56&lt;=datos!$AC$4,datos!$AE$4,IF(AI56&lt;=datos!$AC$5,datos!$AE$5,IF(AI56&lt;=datos!$AC$6,datos!$AE$6,IF(AI56&lt;=datos!$AC$7,datos!$AE$7,""))))))</f>
        <v>Muy Baja</v>
      </c>
      <c r="AI56" s="107">
        <f t="shared" si="6"/>
        <v>0.031103999999999993</v>
      </c>
      <c r="AJ56" s="108" t="str">
        <f>+IF(AK56&lt;=datos!$AD$11,datos!$AC$11,IF(AK56&lt;=datos!$AD$12,datos!$AC$12,IF(AK56&lt;=datos!$AD$13,datos!$AC$13,IF(AK56&lt;=datos!$AD$14,datos!$AC$14,IF(AK56&lt;=datos!$AD$15,datos!$AC$15,"")))))</f>
        <v>Mayor</v>
      </c>
      <c r="AK56" s="107">
        <f t="shared" si="7"/>
        <v>0.8</v>
      </c>
      <c r="AL56" s="108" t="str">
        <f ca="1" t="shared" si="8"/>
        <v>Alto</v>
      </c>
      <c r="AM56" s="238"/>
      <c r="AN56" s="239"/>
      <c r="AO56" s="233"/>
      <c r="AP56" s="234"/>
    </row>
    <row r="57" spans="1:42" ht="60">
      <c r="A57" s="230">
        <v>30</v>
      </c>
      <c r="B57" s="231" t="s">
        <v>44</v>
      </c>
      <c r="C57" s="187" t="s">
        <v>247</v>
      </c>
      <c r="D57" s="185" t="str">
        <f>_xlfn.IFERROR(VLOOKUP(B57,datos!$B$1:$C$21,2,0),"")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7" s="231" t="s">
        <v>55</v>
      </c>
      <c r="F57" s="231" t="s">
        <v>732</v>
      </c>
      <c r="G57" s="231" t="s">
        <v>733</v>
      </c>
      <c r="H57" s="187" t="s">
        <v>232</v>
      </c>
      <c r="I57" s="187" t="s">
        <v>730</v>
      </c>
      <c r="J57" s="231" t="s">
        <v>734</v>
      </c>
      <c r="K57" s="189" t="s">
        <v>184</v>
      </c>
      <c r="L57" s="232" t="s">
        <v>57</v>
      </c>
      <c r="M57" s="195" t="s">
        <v>275</v>
      </c>
      <c r="N57" s="193">
        <v>24</v>
      </c>
      <c r="O57" s="221" t="str">
        <f>_xlfn.IFERROR(VLOOKUP(P57,datos!$AC$2:$AE$7,3,0),"")</f>
        <v>Baja</v>
      </c>
      <c r="P57" s="217">
        <f>+IF(OR(N57="",N57=0),"",IF(N57&lt;=datos!$AD$3,datos!$AC$3,IF(AND(N57&gt;datos!$AD$3,N57&lt;=datos!$AD$4),datos!$AC$4,IF(AND(N57&gt;datos!$AD$4,N57&lt;=datos!$AD$5),datos!$AC$5,IF(AND(N57&gt;datos!$AD$5,N57&lt;=datos!$AD$6),datos!$AC$6,IF(N57&gt;datos!$AD$7,datos!$AC$7,0))))))</f>
        <v>0.4</v>
      </c>
      <c r="Q57" s="215" t="str">
        <f>+HLOOKUP(A57,'Impacto Riesgo de Corrupción'!$D$8:$AY$29,22,0)</f>
        <v>Mayor</v>
      </c>
      <c r="R57" s="217">
        <f>+IF(Q57="","",VLOOKUP(Q57,datos!$AC$12:$AD$15,2,0))</f>
        <v>0.8</v>
      </c>
      <c r="S57" s="197" t="str">
        <f ca="1">_xlfn.IFERROR(INDIRECT("datos!"&amp;HLOOKUP(Q57,calculo_imp,2,FALSE)&amp;VLOOKUP(O57,calculo_prob,2,FALSE)),"")</f>
        <v>Alto</v>
      </c>
      <c r="T57" s="95">
        <v>1</v>
      </c>
      <c r="U57" s="82" t="s">
        <v>735</v>
      </c>
      <c r="V57" s="81" t="s">
        <v>736</v>
      </c>
      <c r="W57" s="81" t="s">
        <v>737</v>
      </c>
      <c r="X57" s="81" t="s">
        <v>738</v>
      </c>
      <c r="Y57" s="81" t="s">
        <v>739</v>
      </c>
      <c r="Z57" s="81" t="s">
        <v>740</v>
      </c>
      <c r="AA57" s="81" t="s">
        <v>741</v>
      </c>
      <c r="AB57" s="81" t="s">
        <v>742</v>
      </c>
      <c r="AC57" s="81" t="s">
        <v>743</v>
      </c>
      <c r="AD57" s="88" t="str">
        <f>IF(AE57="","",VLOOKUP(AE57,datos!$AT$6:$AU$9,2,0))</f>
        <v>Probabilidad</v>
      </c>
      <c r="AE57" s="82" t="s">
        <v>80</v>
      </c>
      <c r="AF57" s="82" t="s">
        <v>84</v>
      </c>
      <c r="AG57" s="87">
        <f>IF(AND(AE57="",AF57=""),"",IF(AE57="",0,VLOOKUP(AE57,datos!$AP$3:$AR$7,3,0))+IF(AF57="",0,VLOOKUP(AF57,datos!$AP$3:$AR$7,3,0)))</f>
        <v>0.4</v>
      </c>
      <c r="AH57" s="112" t="str">
        <f>IF(OR(AI57="",AI57=0),"",IF(AI57&lt;=datos!$AC$3,datos!$AE$3,IF(AI57&lt;=datos!$AC$4,datos!$AE$4,IF(AI57&lt;=datos!$AC$5,datos!$AE$5,IF(AI57&lt;=datos!$AC$6,datos!$AE$6,IF(AI57&lt;=datos!$AC$7,datos!$AE$7,""))))))</f>
        <v>Baja</v>
      </c>
      <c r="AI57" s="109">
        <f t="shared" si="6"/>
        <v>0.24</v>
      </c>
      <c r="AJ57" s="110" t="str">
        <f>+IF(AK57&lt;=datos!$AD$11,datos!$AC$11,IF(AK57&lt;=datos!$AD$12,datos!$AC$12,IF(AK57&lt;=datos!$AD$13,datos!$AC$13,IF(AK57&lt;=datos!$AD$14,datos!$AC$14,IF(AK57&lt;=datos!$AD$15,datos!$AC$15,"")))))</f>
        <v>Mayor</v>
      </c>
      <c r="AK57" s="109">
        <f t="shared" si="7"/>
        <v>0.8</v>
      </c>
      <c r="AL57" s="110" t="str">
        <f ca="1" t="shared" si="8"/>
        <v>Alto</v>
      </c>
      <c r="AM57" s="224" t="s">
        <v>92</v>
      </c>
      <c r="AN57" s="226" t="s">
        <v>768</v>
      </c>
      <c r="AO57" s="228">
        <v>45291</v>
      </c>
      <c r="AP57" s="200" t="s">
        <v>769</v>
      </c>
    </row>
    <row r="58" spans="1:42" ht="72">
      <c r="A58" s="220"/>
      <c r="B58" s="188"/>
      <c r="C58" s="188"/>
      <c r="D58" s="186"/>
      <c r="E58" s="188"/>
      <c r="F58" s="188"/>
      <c r="G58" s="188"/>
      <c r="H58" s="188"/>
      <c r="I58" s="188"/>
      <c r="J58" s="188"/>
      <c r="K58" s="190"/>
      <c r="L58" s="192"/>
      <c r="M58" s="196"/>
      <c r="N58" s="194"/>
      <c r="O58" s="222"/>
      <c r="P58" s="218"/>
      <c r="Q58" s="216"/>
      <c r="R58" s="218" t="e">
        <f>IF(OR(#REF!=datos!$AB$10,#REF!=datos!$AB$16),"",VLOOKUP(#REF!,datos!$AA$10:$AC$21,3,0))</f>
        <v>#REF!</v>
      </c>
      <c r="S58" s="198"/>
      <c r="T58" s="93">
        <v>2</v>
      </c>
      <c r="U58" s="80" t="s">
        <v>744</v>
      </c>
      <c r="V58" s="79" t="s">
        <v>736</v>
      </c>
      <c r="W58" s="79" t="s">
        <v>745</v>
      </c>
      <c r="X58" s="79" t="s">
        <v>746</v>
      </c>
      <c r="Y58" s="79" t="s">
        <v>747</v>
      </c>
      <c r="Z58" s="79" t="s">
        <v>766</v>
      </c>
      <c r="AA58" s="79" t="s">
        <v>749</v>
      </c>
      <c r="AB58" s="79" t="s">
        <v>742</v>
      </c>
      <c r="AC58" s="79" t="s">
        <v>743</v>
      </c>
      <c r="AD58" s="89" t="str">
        <f>IF(AE58="","",VLOOKUP(AE58,datos!$AT$6:$AU$9,2,0))</f>
        <v>Probabilidad</v>
      </c>
      <c r="AE58" s="80" t="s">
        <v>80</v>
      </c>
      <c r="AF58" s="80" t="s">
        <v>84</v>
      </c>
      <c r="AG58" s="86">
        <f>IF(AND(AE58="",AF58=""),"",IF(AE58="",0,VLOOKUP(AE58,datos!$AP$3:$AR$7,3,0))+IF(AF58="",0,VLOOKUP(AF58,datos!$AP$3:$AR$7,3,0)))</f>
        <v>0.4</v>
      </c>
      <c r="AH58" s="106" t="str">
        <f>IF(OR(AI58="",AI58=0),"",IF(AI58&lt;=datos!$AC$3,datos!$AE$3,IF(AI58&lt;=datos!$AC$4,datos!$AE$4,IF(AI58&lt;=datos!$AC$5,datos!$AE$5,IF(AI58&lt;=datos!$AC$6,datos!$AE$6,IF(AI58&lt;=datos!$AC$7,datos!$AE$7,""))))))</f>
        <v>Muy Baja</v>
      </c>
      <c r="AI58" s="107">
        <f t="shared" si="6"/>
        <v>0.144</v>
      </c>
      <c r="AJ58" s="108" t="str">
        <f>+IF(AK58&lt;=datos!$AD$11,datos!$AC$11,IF(AK58&lt;=datos!$AD$12,datos!$AC$12,IF(AK58&lt;=datos!$AD$13,datos!$AC$13,IF(AK58&lt;=datos!$AD$14,datos!$AC$14,IF(AK58&lt;=datos!$AD$15,datos!$AC$15,"")))))</f>
        <v>Mayor</v>
      </c>
      <c r="AK58" s="107">
        <f t="shared" si="7"/>
        <v>0.8</v>
      </c>
      <c r="AL58" s="108" t="str">
        <f ca="1" t="shared" si="8"/>
        <v>Alto</v>
      </c>
      <c r="AM58" s="225"/>
      <c r="AN58" s="227"/>
      <c r="AO58" s="229"/>
      <c r="AP58" s="200"/>
    </row>
    <row r="59" spans="1:42" ht="72">
      <c r="A59" s="220"/>
      <c r="B59" s="188"/>
      <c r="C59" s="188"/>
      <c r="D59" s="186"/>
      <c r="E59" s="188"/>
      <c r="F59" s="188"/>
      <c r="G59" s="188"/>
      <c r="H59" s="188"/>
      <c r="I59" s="188"/>
      <c r="J59" s="188"/>
      <c r="K59" s="190"/>
      <c r="L59" s="192"/>
      <c r="M59" s="196"/>
      <c r="N59" s="194"/>
      <c r="O59" s="222"/>
      <c r="P59" s="218"/>
      <c r="Q59" s="216"/>
      <c r="R59" s="218" t="e">
        <f>IF(OR(#REF!=datos!$AB$10,#REF!=datos!$AB$16),"",VLOOKUP(#REF!,datos!$AA$10:$AC$21,3,0))</f>
        <v>#REF!</v>
      </c>
      <c r="S59" s="198"/>
      <c r="T59" s="93">
        <v>3</v>
      </c>
      <c r="U59" s="80" t="s">
        <v>750</v>
      </c>
      <c r="V59" s="79" t="s">
        <v>751</v>
      </c>
      <c r="W59" s="79" t="s">
        <v>745</v>
      </c>
      <c r="X59" s="79" t="s">
        <v>752</v>
      </c>
      <c r="Y59" s="79" t="s">
        <v>753</v>
      </c>
      <c r="Z59" s="79" t="s">
        <v>754</v>
      </c>
      <c r="AA59" s="79" t="s">
        <v>755</v>
      </c>
      <c r="AB59" s="79" t="s">
        <v>742</v>
      </c>
      <c r="AC59" s="79" t="s">
        <v>743</v>
      </c>
      <c r="AD59" s="89" t="str">
        <f>IF(AE59="","",VLOOKUP(AE59,datos!$AT$6:$AU$9,2,0))</f>
        <v>Probabilidad</v>
      </c>
      <c r="AE59" s="80" t="s">
        <v>80</v>
      </c>
      <c r="AF59" s="80" t="s">
        <v>84</v>
      </c>
      <c r="AG59" s="86">
        <f>IF(AND(AE59="",AF59=""),"",IF(AE59="",0,VLOOKUP(AE59,datos!$AP$3:$AR$7,3,0))+IF(AF59="",0,VLOOKUP(AF59,datos!$AP$3:$AR$7,3,0)))</f>
        <v>0.4</v>
      </c>
      <c r="AH59" s="106" t="str">
        <f>IF(OR(AI59="",AI59=0),"",IF(AI59&lt;=datos!$AC$3,datos!$AE$3,IF(AI59&lt;=datos!$AC$4,datos!$AE$4,IF(AI59&lt;=datos!$AC$5,datos!$AE$5,IF(AI59&lt;=datos!$AC$6,datos!$AE$6,IF(AI59&lt;=datos!$AC$7,datos!$AE$7,""))))))</f>
        <v>Muy Baja</v>
      </c>
      <c r="AI59" s="107">
        <f t="shared" si="6"/>
        <v>0.08639999999999999</v>
      </c>
      <c r="AJ59" s="108" t="str">
        <f>+IF(AK59&lt;=datos!$AD$11,datos!$AC$11,IF(AK59&lt;=datos!$AD$12,datos!$AC$12,IF(AK59&lt;=datos!$AD$13,datos!$AC$13,IF(AK59&lt;=datos!$AD$14,datos!$AC$14,IF(AK59&lt;=datos!$AD$15,datos!$AC$15,"")))))</f>
        <v>Mayor</v>
      </c>
      <c r="AK59" s="107">
        <f t="shared" si="7"/>
        <v>0.8</v>
      </c>
      <c r="AL59" s="108" t="str">
        <f ca="1" t="shared" si="8"/>
        <v>Alto</v>
      </c>
      <c r="AM59" s="225"/>
      <c r="AN59" s="227"/>
      <c r="AO59" s="229"/>
      <c r="AP59" s="200"/>
    </row>
    <row r="60" spans="1:42" ht="96">
      <c r="A60" s="220"/>
      <c r="B60" s="188"/>
      <c r="C60" s="188"/>
      <c r="D60" s="186"/>
      <c r="E60" s="188"/>
      <c r="F60" s="188"/>
      <c r="G60" s="188"/>
      <c r="H60" s="188"/>
      <c r="I60" s="188"/>
      <c r="J60" s="188"/>
      <c r="K60" s="190"/>
      <c r="L60" s="192"/>
      <c r="M60" s="196"/>
      <c r="N60" s="194"/>
      <c r="O60" s="222"/>
      <c r="P60" s="218"/>
      <c r="Q60" s="216"/>
      <c r="R60" s="218" t="e">
        <f>IF(OR(#REF!=datos!$AB$10,#REF!=datos!$AB$16),"",VLOOKUP(#REF!,datos!$AA$10:$AC$21,3,0))</f>
        <v>#REF!</v>
      </c>
      <c r="S60" s="198"/>
      <c r="T60" s="93">
        <v>4</v>
      </c>
      <c r="U60" s="80" t="s">
        <v>756</v>
      </c>
      <c r="V60" s="79" t="s">
        <v>736</v>
      </c>
      <c r="W60" s="79" t="s">
        <v>745</v>
      </c>
      <c r="X60" s="79" t="s">
        <v>757</v>
      </c>
      <c r="Y60" s="79" t="s">
        <v>758</v>
      </c>
      <c r="Z60" s="79" t="s">
        <v>759</v>
      </c>
      <c r="AA60" s="79" t="s">
        <v>760</v>
      </c>
      <c r="AB60" s="79" t="s">
        <v>742</v>
      </c>
      <c r="AC60" s="79" t="s">
        <v>743</v>
      </c>
      <c r="AD60" s="89" t="str">
        <f>IF(AE60="","",VLOOKUP(AE60,datos!$AT$6:$AU$9,2,0))</f>
        <v>Probabilidad</v>
      </c>
      <c r="AE60" s="80" t="s">
        <v>80</v>
      </c>
      <c r="AF60" s="80" t="s">
        <v>84</v>
      </c>
      <c r="AG60" s="86">
        <f>IF(AND(AE60="",AF60=""),"",IF(AE60="",0,VLOOKUP(AE60,datos!$AP$3:$AR$7,3,0))+IF(AF60="",0,VLOOKUP(AF60,datos!$AP$3:$AR$7,3,0)))</f>
        <v>0.4</v>
      </c>
      <c r="AH60" s="106" t="str">
        <f>IF(OR(AI60="",AI60=0),"",IF(AI60&lt;=datos!$AC$3,datos!$AE$3,IF(AI60&lt;=datos!$AC$4,datos!$AE$4,IF(AI60&lt;=datos!$AC$5,datos!$AE$5,IF(AI60&lt;=datos!$AC$6,datos!$AE$6,IF(AI60&lt;=datos!$AC$7,datos!$AE$7,""))))))</f>
        <v>Muy Baja</v>
      </c>
      <c r="AI60" s="107">
        <f t="shared" si="6"/>
        <v>0.05183999999999999</v>
      </c>
      <c r="AJ60" s="108" t="str">
        <f>+IF(AK60&lt;=datos!$AD$11,datos!$AC$11,IF(AK60&lt;=datos!$AD$12,datos!$AC$12,IF(AK60&lt;=datos!$AD$13,datos!$AC$13,IF(AK60&lt;=datos!$AD$14,datos!$AC$14,IF(AK60&lt;=datos!$AD$15,datos!$AC$15,"")))))</f>
        <v>Mayor</v>
      </c>
      <c r="AK60" s="107">
        <f t="shared" si="7"/>
        <v>0.8</v>
      </c>
      <c r="AL60" s="108" t="str">
        <f ca="1" t="shared" si="8"/>
        <v>Alto</v>
      </c>
      <c r="AM60" s="225"/>
      <c r="AN60" s="227"/>
      <c r="AO60" s="229"/>
      <c r="AP60" s="200"/>
    </row>
    <row r="61" spans="1:42" ht="96.75" thickBot="1">
      <c r="A61" s="220"/>
      <c r="B61" s="188"/>
      <c r="C61" s="235"/>
      <c r="D61" s="236"/>
      <c r="E61" s="188"/>
      <c r="F61" s="188"/>
      <c r="G61" s="188"/>
      <c r="H61" s="235"/>
      <c r="I61" s="235"/>
      <c r="J61" s="188"/>
      <c r="K61" s="237"/>
      <c r="L61" s="192"/>
      <c r="M61" s="196"/>
      <c r="N61" s="194"/>
      <c r="O61" s="222"/>
      <c r="P61" s="218"/>
      <c r="Q61" s="216"/>
      <c r="R61" s="218" t="e">
        <f>IF(OR(#REF!=datos!$AB$10,#REF!=datos!$AB$16),"",VLOOKUP(#REF!,datos!$AA$10:$AC$21,3,0))</f>
        <v>#REF!</v>
      </c>
      <c r="S61" s="198"/>
      <c r="T61" s="93">
        <v>5</v>
      </c>
      <c r="U61" s="80" t="s">
        <v>761</v>
      </c>
      <c r="V61" s="79" t="s">
        <v>736</v>
      </c>
      <c r="W61" s="79" t="s">
        <v>737</v>
      </c>
      <c r="X61" s="79" t="s">
        <v>767</v>
      </c>
      <c r="Y61" s="79" t="s">
        <v>763</v>
      </c>
      <c r="Z61" s="79" t="s">
        <v>764</v>
      </c>
      <c r="AA61" s="79" t="s">
        <v>765</v>
      </c>
      <c r="AB61" s="79" t="s">
        <v>742</v>
      </c>
      <c r="AC61" s="79" t="s">
        <v>743</v>
      </c>
      <c r="AD61" s="89" t="str">
        <f>IF(AE61="","",VLOOKUP(AE61,datos!$AT$6:$AU$9,2,0))</f>
        <v>Probabilidad</v>
      </c>
      <c r="AE61" s="80" t="s">
        <v>80</v>
      </c>
      <c r="AF61" s="80" t="s">
        <v>84</v>
      </c>
      <c r="AG61" s="86">
        <f>IF(AND(AE61="",AF61=""),"",IF(AE61="",0,VLOOKUP(AE61,datos!$AP$3:$AR$7,3,0))+IF(AF61="",0,VLOOKUP(AF61,datos!$AP$3:$AR$7,3,0)))</f>
        <v>0.4</v>
      </c>
      <c r="AH61" s="106" t="str">
        <f>IF(OR(AI61="",AI61=0),"",IF(AI61&lt;=datos!$AC$3,datos!$AE$3,IF(AI61&lt;=datos!$AC$4,datos!$AE$4,IF(AI61&lt;=datos!$AC$5,datos!$AE$5,IF(AI61&lt;=datos!$AC$6,datos!$AE$6,IF(AI61&lt;=datos!$AC$7,datos!$AE$7,""))))))</f>
        <v>Muy Baja</v>
      </c>
      <c r="AI61" s="107">
        <f t="shared" si="6"/>
        <v>0.031103999999999993</v>
      </c>
      <c r="AJ61" s="108" t="str">
        <f>+IF(AK61&lt;=datos!$AD$11,datos!$AC$11,IF(AK61&lt;=datos!$AD$12,datos!$AC$12,IF(AK61&lt;=datos!$AD$13,datos!$AC$13,IF(AK61&lt;=datos!$AD$14,datos!$AC$14,IF(AK61&lt;=datos!$AD$15,datos!$AC$15,"")))))</f>
        <v>Mayor</v>
      </c>
      <c r="AK61" s="107">
        <f t="shared" si="7"/>
        <v>0.8</v>
      </c>
      <c r="AL61" s="108" t="str">
        <f ca="1" t="shared" si="8"/>
        <v>Alto</v>
      </c>
      <c r="AM61" s="238"/>
      <c r="AN61" s="239"/>
      <c r="AO61" s="233"/>
      <c r="AP61" s="234"/>
    </row>
    <row r="62" spans="1:42" ht="276.75" thickBot="1">
      <c r="A62" s="146">
        <v>31</v>
      </c>
      <c r="B62" s="84" t="s">
        <v>46</v>
      </c>
      <c r="C62" s="84" t="s">
        <v>247</v>
      </c>
      <c r="D62" s="90" t="str">
        <f>_xlfn.IFERROR(VLOOKUP(B62,datos!$B$1:$C$21,2,0),"")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2" s="84" t="s">
        <v>54</v>
      </c>
      <c r="F62" s="84" t="s">
        <v>770</v>
      </c>
      <c r="G62" s="84" t="s">
        <v>771</v>
      </c>
      <c r="H62" s="84" t="s">
        <v>233</v>
      </c>
      <c r="I62" s="84" t="s">
        <v>772</v>
      </c>
      <c r="J62" s="84" t="s">
        <v>773</v>
      </c>
      <c r="K62" s="139" t="s">
        <v>184</v>
      </c>
      <c r="L62" s="133" t="s">
        <v>57</v>
      </c>
      <c r="M62" s="143" t="s">
        <v>275</v>
      </c>
      <c r="N62" s="142">
        <v>12000</v>
      </c>
      <c r="O62" s="105" t="str">
        <f>_xlfn.IFERROR(VLOOKUP(P62,datos!$AC$2:$AE$7,3,0),"")</f>
        <v>Muy Alta</v>
      </c>
      <c r="P62" s="144">
        <f>+IF(OR(N62="",N62=0),"",IF(N62&lt;=datos!$AD$3,datos!$AC$3,IF(AND(N62&gt;datos!$AD$3,N62&lt;=datos!$AD$4),datos!$AC$4,IF(AND(N62&gt;datos!$AD$4,N62&lt;=datos!$AD$5),datos!$AC$5,IF(AND(N62&gt;datos!$AD$5,N62&lt;=datos!$AD$6),datos!$AC$6,IF(N62&gt;datos!$AD$7,datos!$AC$7,0))))))</f>
        <v>1</v>
      </c>
      <c r="Q62" s="145" t="str">
        <f>+HLOOKUP(A62,'Impacto Riesgo de Corrupción'!$D$8:$AY$29,22,0)</f>
        <v>Catastrófico</v>
      </c>
      <c r="R62" s="144">
        <f>+IF(Q62="","",VLOOKUP(Q62,datos!$AC$12:$AD$15,2,0))</f>
        <v>1</v>
      </c>
      <c r="S62" s="134" t="str">
        <f ca="1">_xlfn.IFERROR(INDIRECT("datos!"&amp;HLOOKUP(Q62,calculo_imp,2,FALSE)&amp;VLOOKUP(O62,calculo_prob,2,FALSE)),"")</f>
        <v>Extremo</v>
      </c>
      <c r="T62" s="92">
        <v>1</v>
      </c>
      <c r="U62" s="84" t="s">
        <v>776</v>
      </c>
      <c r="V62" s="83" t="s">
        <v>777</v>
      </c>
      <c r="W62" s="83" t="s">
        <v>284</v>
      </c>
      <c r="X62" s="83" t="s">
        <v>778</v>
      </c>
      <c r="Y62" s="83" t="s">
        <v>779</v>
      </c>
      <c r="Z62" s="83" t="s">
        <v>780</v>
      </c>
      <c r="AA62" s="83" t="s">
        <v>781</v>
      </c>
      <c r="AB62" s="83" t="s">
        <v>782</v>
      </c>
      <c r="AC62" s="83" t="s">
        <v>783</v>
      </c>
      <c r="AD62" s="90" t="str">
        <f>IF(AE62="","",VLOOKUP(AE62,datos!$AT$6:$AU$9,2,0))</f>
        <v>Probabilidad</v>
      </c>
      <c r="AE62" s="84" t="s">
        <v>81</v>
      </c>
      <c r="AF62" s="84" t="s">
        <v>84</v>
      </c>
      <c r="AG62" s="85">
        <f>IF(AND(AE62="",AF62=""),"",IF(AE62="",0,VLOOKUP(AE62,datos!$AP$3:$AR$7,3,0))+IF(AF62="",0,VLOOKUP(AF62,datos!$AP$3:$AR$7,3,0)))</f>
        <v>0.3</v>
      </c>
      <c r="AH62" s="103" t="str">
        <f>IF(OR(AI62="",AI62=0),"",IF(AI62&lt;=datos!$AC$3,datos!$AE$3,IF(AI62&lt;=datos!$AC$4,datos!$AE$4,IF(AI62&lt;=datos!$AC$5,datos!$AE$5,IF(AI62&lt;=datos!$AC$6,datos!$AE$6,IF(AI62&lt;=datos!$AC$7,datos!$AE$7,""))))))</f>
        <v>Alta</v>
      </c>
      <c r="AI62" s="104">
        <f t="shared" si="6"/>
        <v>0.7</v>
      </c>
      <c r="AJ62" s="105" t="str">
        <f>+IF(AK62&lt;=datos!$AD$11,datos!$AC$11,IF(AK62&lt;=datos!$AD$12,datos!$AC$12,IF(AK62&lt;=datos!$AD$13,datos!$AC$13,IF(AK62&lt;=datos!$AD$14,datos!$AC$14,IF(AK62&lt;=datos!$AD$15,datos!$AC$15,"")))))</f>
        <v>Catastrófico</v>
      </c>
      <c r="AK62" s="104">
        <f t="shared" si="7"/>
        <v>1</v>
      </c>
      <c r="AL62" s="105" t="str">
        <f ca="1" t="shared" si="8"/>
        <v>Extremo</v>
      </c>
      <c r="AM62" s="147" t="s">
        <v>92</v>
      </c>
      <c r="AN62" s="137" t="s">
        <v>791</v>
      </c>
      <c r="AO62" s="138">
        <v>44958</v>
      </c>
      <c r="AP62" s="135" t="s">
        <v>792</v>
      </c>
    </row>
    <row r="63" spans="1:42" ht="276.75" thickBot="1">
      <c r="A63" s="146">
        <v>32</v>
      </c>
      <c r="B63" s="84" t="s">
        <v>46</v>
      </c>
      <c r="C63" s="84" t="s">
        <v>247</v>
      </c>
      <c r="D63" s="90" t="str">
        <f>_xlfn.IFERROR(VLOOKUP(B63,datos!$B$1:$C$21,2,0),"")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3" s="84" t="s">
        <v>54</v>
      </c>
      <c r="F63" s="84" t="s">
        <v>774</v>
      </c>
      <c r="G63" s="84" t="s">
        <v>771</v>
      </c>
      <c r="H63" s="84" t="s">
        <v>233</v>
      </c>
      <c r="I63" s="84" t="s">
        <v>772</v>
      </c>
      <c r="J63" s="84" t="s">
        <v>775</v>
      </c>
      <c r="K63" s="139" t="s">
        <v>184</v>
      </c>
      <c r="L63" s="133" t="s">
        <v>57</v>
      </c>
      <c r="M63" s="143" t="s">
        <v>275</v>
      </c>
      <c r="N63" s="142">
        <v>12000</v>
      </c>
      <c r="O63" s="105" t="str">
        <f>_xlfn.IFERROR(VLOOKUP(P63,datos!$AC$2:$AE$7,3,0),"")</f>
        <v>Muy Alta</v>
      </c>
      <c r="P63" s="144">
        <f>+IF(OR(N63="",N63=0),"",IF(N63&lt;=datos!$AD$3,datos!$AC$3,IF(AND(N63&gt;datos!$AD$3,N63&lt;=datos!$AD$4),datos!$AC$4,IF(AND(N63&gt;datos!$AD$4,N63&lt;=datos!$AD$5),datos!$AC$5,IF(AND(N63&gt;datos!$AD$5,N63&lt;=datos!$AD$6),datos!$AC$6,IF(N63&gt;datos!$AD$7,datos!$AC$7,0))))))</f>
        <v>1</v>
      </c>
      <c r="Q63" s="145" t="str">
        <f>+HLOOKUP(A63,'Impacto Riesgo de Corrupción'!$D$8:$AY$29,22,0)</f>
        <v>Catastrófico</v>
      </c>
      <c r="R63" s="144">
        <f>+IF(Q63="","",VLOOKUP(Q63,datos!$AC$12:$AD$15,2,0))</f>
        <v>1</v>
      </c>
      <c r="S63" s="134" t="str">
        <f ca="1">_xlfn.IFERROR(INDIRECT("datos!"&amp;HLOOKUP(Q63,calculo_imp,2,FALSE)&amp;VLOOKUP(O63,calculo_prob,2,FALSE)),"")</f>
        <v>Extremo</v>
      </c>
      <c r="T63" s="92">
        <v>1</v>
      </c>
      <c r="U63" s="84" t="s">
        <v>784</v>
      </c>
      <c r="V63" s="83" t="s">
        <v>785</v>
      </c>
      <c r="W63" s="83" t="s">
        <v>786</v>
      </c>
      <c r="X63" s="83" t="s">
        <v>787</v>
      </c>
      <c r="Y63" s="83" t="s">
        <v>788</v>
      </c>
      <c r="Z63" s="83" t="s">
        <v>789</v>
      </c>
      <c r="AA63" s="83" t="s">
        <v>790</v>
      </c>
      <c r="AB63" s="83" t="s">
        <v>280</v>
      </c>
      <c r="AC63" s="83" t="s">
        <v>783</v>
      </c>
      <c r="AD63" s="90" t="str">
        <f>IF(AE63="","",VLOOKUP(AE63,datos!$AT$6:$AU$9,2,0))</f>
        <v>Probabilidad</v>
      </c>
      <c r="AE63" s="84" t="s">
        <v>80</v>
      </c>
      <c r="AF63" s="84" t="s">
        <v>84</v>
      </c>
      <c r="AG63" s="85">
        <f>IF(AND(AE63="",AF63=""),"",IF(AE63="",0,VLOOKUP(AE63,datos!$AP$3:$AR$7,3,0))+IF(AF63="",0,VLOOKUP(AF63,datos!$AP$3:$AR$7,3,0)))</f>
        <v>0.4</v>
      </c>
      <c r="AH63" s="103" t="str">
        <f>IF(OR(AI63="",AI63=0),"",IF(AI63&lt;=datos!$AC$3,datos!$AE$3,IF(AI63&lt;=datos!$AC$4,datos!$AE$4,IF(AI63&lt;=datos!$AC$5,datos!$AE$5,IF(AI63&lt;=datos!$AC$6,datos!$AE$6,IF(AI63&lt;=datos!$AC$7,datos!$AE$7,""))))))</f>
        <v>Media</v>
      </c>
      <c r="AI63" s="104">
        <f>IF(AD63="","",IF(T63=1,IF(AD63="Probabilidad",P63-(P63*AG63),P63),IF(AD63="Probabilidad",#REF!-(#REF!*AG63),#REF!)))</f>
        <v>0.6</v>
      </c>
      <c r="AJ63" s="105" t="str">
        <f>+IF(AK63&lt;=datos!$AD$11,datos!$AC$11,IF(AK63&lt;=datos!$AD$12,datos!$AC$12,IF(AK63&lt;=datos!$AD$13,datos!$AC$13,IF(AK63&lt;=datos!$AD$14,datos!$AC$14,IF(AK63&lt;=datos!$AD$15,datos!$AC$15,"")))))</f>
        <v>Catastrófico</v>
      </c>
      <c r="AK63" s="104">
        <f>IF(AD63="","",IF(T63=1,IF(AD63="Impacto",R63-(R63*AG63),R63),IF(AD63="Impacto",#REF!-(#REF!*AG63),#REF!)))</f>
        <v>1</v>
      </c>
      <c r="AL63" s="105" t="str">
        <f ca="1" t="shared" si="8"/>
        <v>Extremo</v>
      </c>
      <c r="AM63" s="147" t="s">
        <v>92</v>
      </c>
      <c r="AN63" s="137" t="s">
        <v>793</v>
      </c>
      <c r="AO63" s="138">
        <v>44958</v>
      </c>
      <c r="AP63" s="135" t="s">
        <v>792</v>
      </c>
    </row>
    <row r="64" spans="1:42" ht="72">
      <c r="A64" s="219">
        <v>33</v>
      </c>
      <c r="B64" s="187" t="s">
        <v>37</v>
      </c>
      <c r="C64" s="187" t="s">
        <v>250</v>
      </c>
      <c r="D64" s="185" t="str">
        <f>_xlfn.IFERROR(VLOOKUP(B64,datos!$B$1:$C$21,2,0),"")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4" s="187" t="s">
        <v>55</v>
      </c>
      <c r="F64" s="187" t="s">
        <v>794</v>
      </c>
      <c r="G64" s="187" t="s">
        <v>795</v>
      </c>
      <c r="H64" s="187" t="s">
        <v>233</v>
      </c>
      <c r="I64" s="187" t="s">
        <v>295</v>
      </c>
      <c r="J64" s="187" t="s">
        <v>796</v>
      </c>
      <c r="K64" s="189" t="s">
        <v>184</v>
      </c>
      <c r="L64" s="191" t="s">
        <v>57</v>
      </c>
      <c r="M64" s="195" t="s">
        <v>12</v>
      </c>
      <c r="N64" s="193">
        <v>172</v>
      </c>
      <c r="O64" s="221" t="str">
        <f>_xlfn.IFERROR(VLOOKUP(P64,datos!$AC$2:$AE$7,3,0),"")</f>
        <v>Media</v>
      </c>
      <c r="P64" s="217">
        <f>+IF(OR(N64="",N64=0),"",IF(N64&lt;=datos!$AD$3,datos!$AC$3,IF(AND(N64&gt;datos!$AD$3,N64&lt;=datos!$AD$4),datos!$AC$4,IF(AND(N64&gt;datos!$AD$4,N64&lt;=datos!$AD$5),datos!$AC$5,IF(AND(N64&gt;datos!$AD$5,N64&lt;=datos!$AD$6),datos!$AC$6,IF(N64&gt;datos!$AD$7,datos!$AC$7,0))))))</f>
        <v>0.6</v>
      </c>
      <c r="Q64" s="215" t="str">
        <f>+HLOOKUP(A64,'Impacto Riesgo de Corrupción'!$D$8:$AY$29,22,0)</f>
        <v>Mayor</v>
      </c>
      <c r="R64" s="217">
        <f>+IF(Q64="","",VLOOKUP(Q64,datos!$AC$12:$AD$15,2,0))</f>
        <v>0.8</v>
      </c>
      <c r="S64" s="197" t="str">
        <f ca="1">_xlfn.IFERROR(INDIRECT("datos!"&amp;HLOOKUP(Q64,calculo_imp,2,FALSE)&amp;VLOOKUP(O64,calculo_prob,2,FALSE)),"")</f>
        <v>Alto</v>
      </c>
      <c r="T64" s="92">
        <v>1</v>
      </c>
      <c r="U64" s="84" t="s">
        <v>812</v>
      </c>
      <c r="V64" s="83" t="s">
        <v>813</v>
      </c>
      <c r="W64" s="83" t="s">
        <v>814</v>
      </c>
      <c r="X64" s="83" t="s">
        <v>815</v>
      </c>
      <c r="Y64" s="83" t="s">
        <v>816</v>
      </c>
      <c r="Z64" s="83" t="s">
        <v>817</v>
      </c>
      <c r="AA64" s="83" t="s">
        <v>818</v>
      </c>
      <c r="AB64" s="83" t="s">
        <v>819</v>
      </c>
      <c r="AC64" s="83" t="s">
        <v>722</v>
      </c>
      <c r="AD64" s="90" t="str">
        <f>IF(AE64="","",VLOOKUP(AE64,datos!$AT$6:$AU$9,2,0))</f>
        <v>Probabilidad</v>
      </c>
      <c r="AE64" s="84" t="s">
        <v>81</v>
      </c>
      <c r="AF64" s="84" t="s">
        <v>84</v>
      </c>
      <c r="AG64" s="85">
        <f>IF(AND(AE64="",AF64=""),"",IF(AE64="",0,VLOOKUP(AE64,datos!$AP$3:$AR$7,3,0))+IF(AF64="",0,VLOOKUP(AF64,datos!$AP$3:$AR$7,3,0)))</f>
        <v>0.3</v>
      </c>
      <c r="AH64" s="103" t="str">
        <f>IF(OR(AI64="",AI64=0),"",IF(AI64&lt;=datos!$AC$3,datos!$AE$3,IF(AI64&lt;=datos!$AC$4,datos!$AE$4,IF(AI64&lt;=datos!$AC$5,datos!$AE$5,IF(AI64&lt;=datos!$AC$6,datos!$AE$6,IF(AI64&lt;=datos!$AC$7,datos!$AE$7,""))))))</f>
        <v>Media</v>
      </c>
      <c r="AI64" s="104">
        <f>IF(AD64="","",IF(T64=1,IF(AD64="Probabilidad",P64-(P64*AG64),P64),IF(AD64="Probabilidad",#REF!-(#REF!*AG64),#REF!)))</f>
        <v>0.42</v>
      </c>
      <c r="AJ64" s="105" t="str">
        <f>+IF(AK64&lt;=datos!$AD$11,datos!$AC$11,IF(AK64&lt;=datos!$AD$12,datos!$AC$12,IF(AK64&lt;=datos!$AD$13,datos!$AC$13,IF(AK64&lt;=datos!$AD$14,datos!$AC$14,IF(AK64&lt;=datos!$AD$15,datos!$AC$15,"")))))</f>
        <v>Mayor</v>
      </c>
      <c r="AK64" s="104">
        <f>IF(AD64="","",IF(T64=1,IF(AD64="Impacto",R64-(R64*AG64),R64),IF(AD64="Impacto",#REF!-(#REF!*AG64),#REF!)))</f>
        <v>0.8</v>
      </c>
      <c r="AL64" s="105" t="str">
        <f ca="1" t="shared" si="8"/>
        <v>Alto</v>
      </c>
      <c r="AM64" s="224" t="s">
        <v>92</v>
      </c>
      <c r="AN64" s="226" t="s">
        <v>867</v>
      </c>
      <c r="AO64" s="228">
        <v>45322</v>
      </c>
      <c r="AP64" s="199" t="s">
        <v>868</v>
      </c>
    </row>
    <row r="65" spans="1:42" ht="72.75" thickBot="1">
      <c r="A65" s="220"/>
      <c r="B65" s="188"/>
      <c r="C65" s="188"/>
      <c r="D65" s="186"/>
      <c r="E65" s="188"/>
      <c r="F65" s="188"/>
      <c r="G65" s="188"/>
      <c r="H65" s="188"/>
      <c r="I65" s="188"/>
      <c r="J65" s="188"/>
      <c r="K65" s="190"/>
      <c r="L65" s="192"/>
      <c r="M65" s="196"/>
      <c r="N65" s="194"/>
      <c r="O65" s="222"/>
      <c r="P65" s="218"/>
      <c r="Q65" s="216"/>
      <c r="R65" s="218" t="e">
        <f>IF(OR(#REF!=datos!$AB$10,#REF!=datos!$AB$16),"",VLOOKUP(#REF!,datos!$AA$10:$AC$21,3,0))</f>
        <v>#REF!</v>
      </c>
      <c r="S65" s="198"/>
      <c r="T65" s="93">
        <v>2</v>
      </c>
      <c r="U65" s="80" t="s">
        <v>820</v>
      </c>
      <c r="V65" s="79" t="s">
        <v>821</v>
      </c>
      <c r="W65" s="79" t="s">
        <v>822</v>
      </c>
      <c r="X65" s="79" t="s">
        <v>823</v>
      </c>
      <c r="Y65" s="79" t="s">
        <v>824</v>
      </c>
      <c r="Z65" s="79" t="s">
        <v>825</v>
      </c>
      <c r="AA65" s="79" t="s">
        <v>826</v>
      </c>
      <c r="AB65" s="79" t="s">
        <v>827</v>
      </c>
      <c r="AC65" s="79" t="s">
        <v>722</v>
      </c>
      <c r="AD65" s="89" t="str">
        <f>IF(AE65="","",VLOOKUP(AE65,datos!$AT$6:$AU$9,2,0))</f>
        <v>Probabilidad</v>
      </c>
      <c r="AE65" s="80" t="s">
        <v>81</v>
      </c>
      <c r="AF65" s="80" t="s">
        <v>84</v>
      </c>
      <c r="AG65" s="86">
        <f>IF(AND(AE65="",AF65=""),"",IF(AE65="",0,VLOOKUP(AE65,datos!$AP$3:$AR$7,3,0))+IF(AF65="",0,VLOOKUP(AF65,datos!$AP$3:$AR$7,3,0)))</f>
        <v>0.3</v>
      </c>
      <c r="AH65" s="106" t="str">
        <f>IF(OR(AI65="",AI65=0),"",IF(AI65&lt;=datos!$AC$3,datos!$AE$3,IF(AI65&lt;=datos!$AC$4,datos!$AE$4,IF(AI65&lt;=datos!$AC$5,datos!$AE$5,IF(AI65&lt;=datos!$AC$6,datos!$AE$6,IF(AI65&lt;=datos!$AC$7,datos!$AE$7,""))))))</f>
        <v>Baja</v>
      </c>
      <c r="AI65" s="107">
        <f>IF(AD65="","",IF(T65=1,IF(AD65="Probabilidad",P65-(P65*AG65),P65),IF(AD65="Probabilidad",AI64-(AI64*AG65),AI64)))</f>
        <v>0.294</v>
      </c>
      <c r="AJ65" s="108" t="str">
        <f>+IF(AK65&lt;=datos!$AD$11,datos!$AC$11,IF(AK65&lt;=datos!$AD$12,datos!$AC$12,IF(AK65&lt;=datos!$AD$13,datos!$AC$13,IF(AK65&lt;=datos!$AD$14,datos!$AC$14,IF(AK65&lt;=datos!$AD$15,datos!$AC$15,"")))))</f>
        <v>Mayor</v>
      </c>
      <c r="AK65" s="107">
        <f>IF(AD65="","",IF(T65=1,IF(AD65="Impacto",R65-(R65*AG65),R65),IF(AD65="Impacto",AK64-(AK64*AG65),AK64)))</f>
        <v>0.8</v>
      </c>
      <c r="AL65" s="108" t="str">
        <f ca="1" t="shared" si="8"/>
        <v>Alto</v>
      </c>
      <c r="AM65" s="225"/>
      <c r="AN65" s="227"/>
      <c r="AO65" s="229"/>
      <c r="AP65" s="200"/>
    </row>
    <row r="66" spans="1:42" ht="237" customHeight="1" thickBot="1">
      <c r="A66" s="141">
        <v>34</v>
      </c>
      <c r="B66" s="82" t="s">
        <v>37</v>
      </c>
      <c r="C66" s="84" t="s">
        <v>250</v>
      </c>
      <c r="D66" s="90" t="str">
        <f>_xlfn.IFERROR(VLOOKUP(B66,datos!$B$1:$C$21,2,0),"")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6" s="82" t="s">
        <v>55</v>
      </c>
      <c r="F66" s="82" t="s">
        <v>797</v>
      </c>
      <c r="G66" s="82" t="s">
        <v>798</v>
      </c>
      <c r="H66" s="84" t="s">
        <v>233</v>
      </c>
      <c r="I66" s="84" t="s">
        <v>295</v>
      </c>
      <c r="J66" s="82" t="s">
        <v>799</v>
      </c>
      <c r="K66" s="139" t="s">
        <v>184</v>
      </c>
      <c r="L66" s="140" t="s">
        <v>57</v>
      </c>
      <c r="M66" s="143" t="s">
        <v>12</v>
      </c>
      <c r="N66" s="142">
        <v>61</v>
      </c>
      <c r="O66" s="105" t="str">
        <f>_xlfn.IFERROR(VLOOKUP(P66,datos!$AC$2:$AE$7,3,0),"")</f>
        <v>Media</v>
      </c>
      <c r="P66" s="144">
        <f>+IF(OR(N66="",N66=0),"",IF(N66&lt;=datos!$AD$3,datos!$AC$3,IF(AND(N66&gt;datos!$AD$3,N66&lt;=datos!$AD$4),datos!$AC$4,IF(AND(N66&gt;datos!$AD$4,N66&lt;=datos!$AD$5),datos!$AC$5,IF(AND(N66&gt;datos!$AD$5,N66&lt;=datos!$AD$6),datos!$AC$6,IF(N66&gt;datos!$AD$7,datos!$AC$7,0))))))</f>
        <v>0.6</v>
      </c>
      <c r="Q66" s="145" t="str">
        <f>+HLOOKUP(A66,'Impacto Riesgo de Corrupción'!$D$8:$AY$29,22,0)</f>
        <v>Mayor</v>
      </c>
      <c r="R66" s="144">
        <f>+IF(Q66="","",VLOOKUP(Q66,datos!$AC$12:$AD$15,2,0))</f>
        <v>0.8</v>
      </c>
      <c r="S66" s="134" t="str">
        <f aca="true" ca="1" t="shared" si="9" ref="S66:S71">_xlfn.IFERROR(INDIRECT("datos!"&amp;HLOOKUP(Q66,calculo_imp,2,FALSE)&amp;VLOOKUP(O66,calculo_prob,2,FALSE)),"")</f>
        <v>Alto</v>
      </c>
      <c r="T66" s="95">
        <v>1</v>
      </c>
      <c r="U66" s="82" t="s">
        <v>828</v>
      </c>
      <c r="V66" s="81" t="s">
        <v>829</v>
      </c>
      <c r="W66" s="81" t="s">
        <v>745</v>
      </c>
      <c r="X66" s="81" t="s">
        <v>830</v>
      </c>
      <c r="Y66" s="81" t="s">
        <v>831</v>
      </c>
      <c r="Z66" s="81" t="s">
        <v>832</v>
      </c>
      <c r="AA66" s="81" t="s">
        <v>833</v>
      </c>
      <c r="AB66" s="81" t="s">
        <v>834</v>
      </c>
      <c r="AC66" s="81" t="s">
        <v>835</v>
      </c>
      <c r="AD66" s="88" t="str">
        <f>IF(AE66="","",VLOOKUP(AE66,datos!$AT$6:$AU$9,2,0))</f>
        <v>Probabilidad</v>
      </c>
      <c r="AE66" s="82" t="s">
        <v>80</v>
      </c>
      <c r="AF66" s="82" t="s">
        <v>84</v>
      </c>
      <c r="AG66" s="87">
        <f>IF(AND(AE66="",AF66=""),"",IF(AE66="",0,VLOOKUP(AE66,datos!$AP$3:$AR$7,3,0))+IF(AF66="",0,VLOOKUP(AF66,datos!$AP$3:$AR$7,3,0)))</f>
        <v>0.4</v>
      </c>
      <c r="AH66" s="112" t="str">
        <f>IF(OR(AI66="",AI66=0),"",IF(AI66&lt;=datos!$AC$3,datos!$AE$3,IF(AI66&lt;=datos!$AC$4,datos!$AE$4,IF(AI66&lt;=datos!$AC$5,datos!$AE$5,IF(AI66&lt;=datos!$AC$6,datos!$AE$6,IF(AI66&lt;=datos!$AC$7,datos!$AE$7,""))))))</f>
        <v>Baja</v>
      </c>
      <c r="AI66" s="109">
        <f>IF(AD66="","",IF(T66=1,IF(AD66="Probabilidad",P66-(P66*AG66),P66),IF(AD66="Probabilidad",#REF!-(#REF!*AG66),#REF!)))</f>
        <v>0.36</v>
      </c>
      <c r="AJ66" s="110" t="str">
        <f>+IF(AK66&lt;=datos!$AD$11,datos!$AC$11,IF(AK66&lt;=datos!$AD$12,datos!$AC$12,IF(AK66&lt;=datos!$AD$13,datos!$AC$13,IF(AK66&lt;=datos!$AD$14,datos!$AC$14,IF(AK66&lt;=datos!$AD$15,datos!$AC$15,"")))))</f>
        <v>Mayor</v>
      </c>
      <c r="AK66" s="109">
        <f>IF(AD66="","",IF(T66=1,IF(AD66="Impacto",R66-(R66*AG66),R66),IF(AD66="Impacto",#REF!-(#REF!*AG66),#REF!)))</f>
        <v>0.8</v>
      </c>
      <c r="AL66" s="110" t="str">
        <f ca="1" t="shared" si="8"/>
        <v>Alto</v>
      </c>
      <c r="AM66" s="147" t="s">
        <v>92</v>
      </c>
      <c r="AN66" s="137" t="s">
        <v>869</v>
      </c>
      <c r="AO66" s="138">
        <v>45322</v>
      </c>
      <c r="AP66" s="136" t="s">
        <v>870</v>
      </c>
    </row>
    <row r="67" spans="1:42" ht="324.75" thickBot="1">
      <c r="A67" s="146">
        <v>35</v>
      </c>
      <c r="B67" s="82" t="s">
        <v>37</v>
      </c>
      <c r="C67" s="84" t="s">
        <v>250</v>
      </c>
      <c r="D67" s="90"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4" t="s">
        <v>55</v>
      </c>
      <c r="F67" s="84" t="s">
        <v>800</v>
      </c>
      <c r="G67" s="84" t="s">
        <v>801</v>
      </c>
      <c r="H67" s="84" t="s">
        <v>233</v>
      </c>
      <c r="I67" s="84" t="s">
        <v>295</v>
      </c>
      <c r="J67" s="84" t="s">
        <v>802</v>
      </c>
      <c r="K67" s="139" t="s">
        <v>184</v>
      </c>
      <c r="L67" s="133" t="s">
        <v>57</v>
      </c>
      <c r="M67" s="143" t="s">
        <v>12</v>
      </c>
      <c r="N67" s="142">
        <v>195</v>
      </c>
      <c r="O67" s="105" t="str">
        <f>_xlfn.IFERROR(VLOOKUP(P67,datos!$AC$2:$AE$7,3,0),"")</f>
        <v>Media</v>
      </c>
      <c r="P67" s="144">
        <f>+IF(OR(N67="",N67=0),"",IF(N67&lt;=datos!$AD$3,datos!$AC$3,IF(AND(N67&gt;datos!$AD$3,N67&lt;=datos!$AD$4),datos!$AC$4,IF(AND(N67&gt;datos!$AD$4,N67&lt;=datos!$AD$5),datos!$AC$5,IF(AND(N67&gt;datos!$AD$5,N67&lt;=datos!$AD$6),datos!$AC$6,IF(N67&gt;datos!$AD$7,datos!$AC$7,0))))))</f>
        <v>0.6</v>
      </c>
      <c r="Q67" s="145" t="str">
        <f>+HLOOKUP(A67,'Impacto Riesgo de Corrupción'!$D$8:$AY$29,22,0)</f>
        <v>Mayor</v>
      </c>
      <c r="R67" s="144">
        <f>+IF(Q67="","",VLOOKUP(Q67,datos!$AC$12:$AD$15,2,0))</f>
        <v>0.8</v>
      </c>
      <c r="S67" s="134" t="str">
        <f ca="1" t="shared" si="9"/>
        <v>Alto</v>
      </c>
      <c r="T67" s="92">
        <v>1</v>
      </c>
      <c r="U67" s="84" t="s">
        <v>836</v>
      </c>
      <c r="V67" s="83" t="s">
        <v>837</v>
      </c>
      <c r="W67" s="83" t="s">
        <v>838</v>
      </c>
      <c r="X67" s="83" t="s">
        <v>839</v>
      </c>
      <c r="Y67" s="83" t="s">
        <v>840</v>
      </c>
      <c r="Z67" s="83" t="s">
        <v>841</v>
      </c>
      <c r="AA67" s="83" t="s">
        <v>842</v>
      </c>
      <c r="AB67" s="83" t="s">
        <v>843</v>
      </c>
      <c r="AC67" s="83" t="s">
        <v>835</v>
      </c>
      <c r="AD67" s="90" t="str">
        <f>IF(AE67="","",VLOOKUP(AE67,datos!$AT$6:$AU$9,2,0))</f>
        <v>Probabilidad</v>
      </c>
      <c r="AE67" s="84" t="s">
        <v>80</v>
      </c>
      <c r="AF67" s="84" t="s">
        <v>84</v>
      </c>
      <c r="AG67" s="85">
        <f>IF(AND(AE67="",AF67=""),"",IF(AE67="",0,VLOOKUP(AE67,datos!$AP$3:$AR$7,3,0))+IF(AF67="",0,VLOOKUP(AF67,datos!$AP$3:$AR$7,3,0)))</f>
        <v>0.4</v>
      </c>
      <c r="AH67" s="103" t="str">
        <f>IF(OR(AI67="",AI67=0),"",IF(AI67&lt;=datos!$AC$3,datos!$AE$3,IF(AI67&lt;=datos!$AC$4,datos!$AE$4,IF(AI67&lt;=datos!$AC$5,datos!$AE$5,IF(AI67&lt;=datos!$AC$6,datos!$AE$6,IF(AI67&lt;=datos!$AC$7,datos!$AE$7,""))))))</f>
        <v>Baja</v>
      </c>
      <c r="AI67" s="104">
        <f>IF(AD67="","",IF(T67=1,IF(AD67="Probabilidad",P67-(P67*AG67),P67),IF(AD67="Probabilidad",#REF!-(#REF!*AG67),#REF!)))</f>
        <v>0.36</v>
      </c>
      <c r="AJ67" s="105" t="str">
        <f>+IF(AK67&lt;=datos!$AD$11,datos!$AC$11,IF(AK67&lt;=datos!$AD$12,datos!$AC$12,IF(AK67&lt;=datos!$AD$13,datos!$AC$13,IF(AK67&lt;=datos!$AD$14,datos!$AC$14,IF(AK67&lt;=datos!$AD$15,datos!$AC$15,"")))))</f>
        <v>Mayor</v>
      </c>
      <c r="AK67" s="104">
        <f>IF(AD67="","",IF(T67=1,IF(AD67="Impacto",R67-(R67*AG67),R67),IF(AD67="Impacto",#REF!-(#REF!*AG67),#REF!)))</f>
        <v>0.8</v>
      </c>
      <c r="AL67" s="105" t="str">
        <f ca="1" t="shared" si="8"/>
        <v>Alto</v>
      </c>
      <c r="AM67" s="147" t="s">
        <v>92</v>
      </c>
      <c r="AN67" s="137" t="s">
        <v>869</v>
      </c>
      <c r="AO67" s="138">
        <v>45322</v>
      </c>
      <c r="AP67" s="135" t="s">
        <v>871</v>
      </c>
    </row>
    <row r="68" spans="1:42" ht="324.75" thickBot="1">
      <c r="A68" s="146">
        <v>36</v>
      </c>
      <c r="B68" s="82" t="s">
        <v>37</v>
      </c>
      <c r="C68" s="84" t="s">
        <v>250</v>
      </c>
      <c r="D68" s="90"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4" t="s">
        <v>53</v>
      </c>
      <c r="F68" s="84" t="s">
        <v>803</v>
      </c>
      <c r="G68" s="84" t="s">
        <v>804</v>
      </c>
      <c r="H68" s="84" t="s">
        <v>233</v>
      </c>
      <c r="I68" s="84" t="s">
        <v>295</v>
      </c>
      <c r="J68" s="84" t="s">
        <v>805</v>
      </c>
      <c r="K68" s="139" t="s">
        <v>184</v>
      </c>
      <c r="L68" s="133" t="s">
        <v>57</v>
      </c>
      <c r="M68" s="143" t="s">
        <v>12</v>
      </c>
      <c r="N68" s="142">
        <v>36105</v>
      </c>
      <c r="O68" s="105" t="str">
        <f>_xlfn.IFERROR(VLOOKUP(P68,datos!$AC$2:$AE$7,3,0),"")</f>
        <v>Muy Alta</v>
      </c>
      <c r="P68" s="144">
        <f>+IF(OR(N68="",N68=0),"",IF(N68&lt;=datos!$AD$3,datos!$AC$3,IF(AND(N68&gt;datos!$AD$3,N68&lt;=datos!$AD$4),datos!$AC$4,IF(AND(N68&gt;datos!$AD$4,N68&lt;=datos!$AD$5),datos!$AC$5,IF(AND(N68&gt;datos!$AD$5,N68&lt;=datos!$AD$6),datos!$AC$6,IF(N68&gt;datos!$AD$7,datos!$AC$7,0))))))</f>
        <v>1</v>
      </c>
      <c r="Q68" s="145" t="str">
        <f>+HLOOKUP(A68,'Impacto Riesgo de Corrupción'!$D$8:$AY$29,22,0)</f>
        <v>Mayor</v>
      </c>
      <c r="R68" s="144">
        <f>+IF(Q68="","",VLOOKUP(Q68,datos!$AC$12:$AD$15,2,0))</f>
        <v>0.8</v>
      </c>
      <c r="S68" s="134" t="str">
        <f ca="1" t="shared" si="9"/>
        <v>Alto</v>
      </c>
      <c r="T68" s="92">
        <v>1</v>
      </c>
      <c r="U68" s="84" t="s">
        <v>844</v>
      </c>
      <c r="V68" s="83" t="s">
        <v>845</v>
      </c>
      <c r="W68" s="83" t="s">
        <v>846</v>
      </c>
      <c r="X68" s="83" t="s">
        <v>847</v>
      </c>
      <c r="Y68" s="83" t="s">
        <v>848</v>
      </c>
      <c r="Z68" s="83" t="s">
        <v>849</v>
      </c>
      <c r="AA68" s="83" t="s">
        <v>850</v>
      </c>
      <c r="AB68" s="83" t="s">
        <v>851</v>
      </c>
      <c r="AC68" s="83" t="s">
        <v>722</v>
      </c>
      <c r="AD68" s="90" t="str">
        <f>IF(AE68="","",VLOOKUP(AE68,datos!$AT$6:$AU$9,2,0))</f>
        <v>Probabilidad</v>
      </c>
      <c r="AE68" s="84" t="s">
        <v>80</v>
      </c>
      <c r="AF68" s="84" t="s">
        <v>84</v>
      </c>
      <c r="AG68" s="85">
        <f>IF(AND(AE68="",AF68=""),"",IF(AE68="",0,VLOOKUP(AE68,datos!$AP$3:$AR$7,3,0))+IF(AF68="",0,VLOOKUP(AF68,datos!$AP$3:$AR$7,3,0)))</f>
        <v>0.4</v>
      </c>
      <c r="AH68" s="103" t="str">
        <f>IF(OR(AI68="",AI68=0),"",IF(AI68&lt;=datos!$AC$3,datos!$AE$3,IF(AI68&lt;=datos!$AC$4,datos!$AE$4,IF(AI68&lt;=datos!$AC$5,datos!$AE$5,IF(AI68&lt;=datos!$AC$6,datos!$AE$6,IF(AI68&lt;=datos!$AC$7,datos!$AE$7,""))))))</f>
        <v>Media</v>
      </c>
      <c r="AI68" s="104">
        <f>IF(AD68="","",IF(T68=1,IF(AD68="Probabilidad",P68-(P68*AG68),P68),IF(AD68="Probabilidad",#REF!-(#REF!*AG68),#REF!)))</f>
        <v>0.6</v>
      </c>
      <c r="AJ68" s="105" t="str">
        <f>+IF(AK68&lt;=datos!$AD$11,datos!$AC$11,IF(AK68&lt;=datos!$AD$12,datos!$AC$12,IF(AK68&lt;=datos!$AD$13,datos!$AC$13,IF(AK68&lt;=datos!$AD$14,datos!$AC$14,IF(AK68&lt;=datos!$AD$15,datos!$AC$15,"")))))</f>
        <v>Mayor</v>
      </c>
      <c r="AK68" s="104">
        <f>IF(AD68="","",IF(T68=1,IF(AD68="Impacto",R68-(R68*AG68),R68),IF(AD68="Impacto",#REF!-(#REF!*AG68),#REF!)))</f>
        <v>0.8</v>
      </c>
      <c r="AL68" s="105" t="str">
        <f ca="1" t="shared" si="8"/>
        <v>Alto</v>
      </c>
      <c r="AM68" s="147" t="s">
        <v>92</v>
      </c>
      <c r="AN68" s="137" t="s">
        <v>869</v>
      </c>
      <c r="AO68" s="138">
        <v>45322</v>
      </c>
      <c r="AP68" s="135" t="s">
        <v>872</v>
      </c>
    </row>
    <row r="69" spans="1:42" ht="324.75" thickBot="1">
      <c r="A69" s="141">
        <v>37</v>
      </c>
      <c r="B69" s="82" t="s">
        <v>37</v>
      </c>
      <c r="C69" s="84" t="s">
        <v>250</v>
      </c>
      <c r="D69" s="90"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2" t="s">
        <v>53</v>
      </c>
      <c r="F69" s="82" t="s">
        <v>806</v>
      </c>
      <c r="G69" s="82" t="s">
        <v>807</v>
      </c>
      <c r="H69" s="84" t="s">
        <v>233</v>
      </c>
      <c r="I69" s="84" t="s">
        <v>295</v>
      </c>
      <c r="J69" s="82" t="s">
        <v>808</v>
      </c>
      <c r="K69" s="139" t="s">
        <v>184</v>
      </c>
      <c r="L69" s="140" t="s">
        <v>57</v>
      </c>
      <c r="M69" s="143" t="s">
        <v>12</v>
      </c>
      <c r="N69" s="142">
        <v>193</v>
      </c>
      <c r="O69" s="105" t="str">
        <f>_xlfn.IFERROR(VLOOKUP(P69,datos!$AC$2:$AE$7,3,0),"")</f>
        <v>Media</v>
      </c>
      <c r="P69" s="144">
        <f>+IF(OR(N69="",N69=0),"",IF(N69&lt;=datos!$AD$3,datos!$AC$3,IF(AND(N69&gt;datos!$AD$3,N69&lt;=datos!$AD$4),datos!$AC$4,IF(AND(N69&gt;datos!$AD$4,N69&lt;=datos!$AD$5),datos!$AC$5,IF(AND(N69&gt;datos!$AD$5,N69&lt;=datos!$AD$6),datos!$AC$6,IF(N69&gt;datos!$AD$7,datos!$AC$7,0))))))</f>
        <v>0.6</v>
      </c>
      <c r="Q69" s="145" t="str">
        <f>+HLOOKUP(A69,'Impacto Riesgo de Corrupción'!$D$8:$AY$29,22,0)</f>
        <v>Mayor</v>
      </c>
      <c r="R69" s="144">
        <f>+IF(Q69="","",VLOOKUP(Q69,datos!$AC$12:$AD$15,2,0))</f>
        <v>0.8</v>
      </c>
      <c r="S69" s="134" t="str">
        <f ca="1" t="shared" si="9"/>
        <v>Alto</v>
      </c>
      <c r="T69" s="95">
        <v>1</v>
      </c>
      <c r="U69" s="82" t="s">
        <v>852</v>
      </c>
      <c r="V69" s="81" t="s">
        <v>853</v>
      </c>
      <c r="W69" s="81" t="s">
        <v>854</v>
      </c>
      <c r="X69" s="81" t="s">
        <v>855</v>
      </c>
      <c r="Y69" s="81" t="s">
        <v>856</v>
      </c>
      <c r="Z69" s="81" t="s">
        <v>857</v>
      </c>
      <c r="AA69" s="81" t="s">
        <v>858</v>
      </c>
      <c r="AB69" s="81" t="s">
        <v>859</v>
      </c>
      <c r="AC69" s="81" t="s">
        <v>835</v>
      </c>
      <c r="AD69" s="88" t="str">
        <f>IF(AE69="","",VLOOKUP(AE69,datos!$AT$6:$AU$9,2,0))</f>
        <v>Probabilidad</v>
      </c>
      <c r="AE69" s="82" t="s">
        <v>80</v>
      </c>
      <c r="AF69" s="82" t="s">
        <v>84</v>
      </c>
      <c r="AG69" s="87">
        <f>IF(AND(AE69="",AF69=""),"",IF(AE69="",0,VLOOKUP(AE69,datos!$AP$3:$AR$7,3,0))+IF(AF69="",0,VLOOKUP(AF69,datos!$AP$3:$AR$7,3,0)))</f>
        <v>0.4</v>
      </c>
      <c r="AH69" s="112" t="str">
        <f>IF(OR(AI69="",AI69=0),"",IF(AI69&lt;=datos!$AC$3,datos!$AE$3,IF(AI69&lt;=datos!$AC$4,datos!$AE$4,IF(AI69&lt;=datos!$AC$5,datos!$AE$5,IF(AI69&lt;=datos!$AC$6,datos!$AE$6,IF(AI69&lt;=datos!$AC$7,datos!$AE$7,""))))))</f>
        <v>Baja</v>
      </c>
      <c r="AI69" s="109">
        <f>IF(AD69="","",IF(T69=1,IF(AD69="Probabilidad",P69-(P69*AG69),P69),IF(AD69="Probabilidad",#REF!-(#REF!*AG69),#REF!)))</f>
        <v>0.36</v>
      </c>
      <c r="AJ69" s="110" t="str">
        <f>+IF(AK69&lt;=datos!$AD$11,datos!$AC$11,IF(AK69&lt;=datos!$AD$12,datos!$AC$12,IF(AK69&lt;=datos!$AD$13,datos!$AC$13,IF(AK69&lt;=datos!$AD$14,datos!$AC$14,IF(AK69&lt;=datos!$AD$15,datos!$AC$15,"")))))</f>
        <v>Mayor</v>
      </c>
      <c r="AK69" s="109">
        <f>IF(AD69="","",IF(T69=1,IF(AD69="Impacto",R69-(R69*AG69),R69),IF(AD69="Impacto",#REF!-(#REF!*AG69),#REF!)))</f>
        <v>0.8</v>
      </c>
      <c r="AL69" s="110" t="str">
        <f aca="true" ca="1" t="shared" si="10" ref="AL69:AL83">_xlfn.IFERROR(INDIRECT("datos!"&amp;HLOOKUP(AJ69,calculo_imp,2,FALSE)&amp;VLOOKUP(AH69,calculo_prob,2,FALSE)),"")</f>
        <v>Alto</v>
      </c>
      <c r="AM69" s="147" t="s">
        <v>92</v>
      </c>
      <c r="AN69" s="137" t="s">
        <v>869</v>
      </c>
      <c r="AO69" s="138">
        <v>45322</v>
      </c>
      <c r="AP69" s="136" t="s">
        <v>871</v>
      </c>
    </row>
    <row r="70" spans="1:42" ht="324.75" thickBot="1">
      <c r="A70" s="146">
        <v>38</v>
      </c>
      <c r="B70" s="82" t="s">
        <v>37</v>
      </c>
      <c r="C70" s="84" t="s">
        <v>250</v>
      </c>
      <c r="D70" s="90"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4" t="s">
        <v>55</v>
      </c>
      <c r="F70" s="84" t="s">
        <v>809</v>
      </c>
      <c r="G70" s="84" t="s">
        <v>810</v>
      </c>
      <c r="H70" s="84" t="s">
        <v>233</v>
      </c>
      <c r="I70" s="84" t="s">
        <v>295</v>
      </c>
      <c r="J70" s="84" t="s">
        <v>811</v>
      </c>
      <c r="K70" s="139" t="s">
        <v>184</v>
      </c>
      <c r="L70" s="133" t="s">
        <v>57</v>
      </c>
      <c r="M70" s="143" t="s">
        <v>12</v>
      </c>
      <c r="N70" s="142">
        <v>172</v>
      </c>
      <c r="O70" s="105" t="str">
        <f>_xlfn.IFERROR(VLOOKUP(P70,datos!$AC$2:$AE$7,3,0),"")</f>
        <v>Media</v>
      </c>
      <c r="P70" s="144">
        <f>+IF(OR(N70="",N70=0),"",IF(N70&lt;=datos!$AD$3,datos!$AC$3,IF(AND(N70&gt;datos!$AD$3,N70&lt;=datos!$AD$4),datos!$AC$4,IF(AND(N70&gt;datos!$AD$4,N70&lt;=datos!$AD$5),datos!$AC$5,IF(AND(N70&gt;datos!$AD$5,N70&lt;=datos!$AD$6),datos!$AC$6,IF(N70&gt;datos!$AD$7,datos!$AC$7,0))))))</f>
        <v>0.6</v>
      </c>
      <c r="Q70" s="145" t="str">
        <f>+HLOOKUP(A70,'Impacto Riesgo de Corrupción'!$D$8:$AY$29,22,0)</f>
        <v>Mayor</v>
      </c>
      <c r="R70" s="144">
        <f>+IF(Q70="","",VLOOKUP(Q70,datos!$AC$12:$AD$15,2,0))</f>
        <v>0.8</v>
      </c>
      <c r="S70" s="134" t="str">
        <f ca="1" t="shared" si="9"/>
        <v>Alto</v>
      </c>
      <c r="T70" s="92">
        <v>1</v>
      </c>
      <c r="U70" s="84" t="s">
        <v>860</v>
      </c>
      <c r="V70" s="83" t="s">
        <v>813</v>
      </c>
      <c r="W70" s="83" t="s">
        <v>861</v>
      </c>
      <c r="X70" s="83" t="s">
        <v>862</v>
      </c>
      <c r="Y70" s="83" t="s">
        <v>863</v>
      </c>
      <c r="Z70" s="83" t="s">
        <v>864</v>
      </c>
      <c r="AA70" s="83" t="s">
        <v>865</v>
      </c>
      <c r="AB70" s="83" t="s">
        <v>866</v>
      </c>
      <c r="AC70" s="83" t="s">
        <v>722</v>
      </c>
      <c r="AD70" s="90" t="str">
        <f>IF(AE70="","",VLOOKUP(AE70,datos!$AT$6:$AU$9,2,0))</f>
        <v>Probabilidad</v>
      </c>
      <c r="AE70" s="84" t="s">
        <v>80</v>
      </c>
      <c r="AF70" s="84" t="s">
        <v>84</v>
      </c>
      <c r="AG70" s="85">
        <f>IF(AND(AE70="",AF70=""),"",IF(AE70="",0,VLOOKUP(AE70,datos!$AP$3:$AR$7,3,0))+IF(AF70="",0,VLOOKUP(AF70,datos!$AP$3:$AR$7,3,0)))</f>
        <v>0.4</v>
      </c>
      <c r="AH70" s="103" t="str">
        <f>IF(OR(AI70="",AI70=0),"",IF(AI70&lt;=datos!$AC$3,datos!$AE$3,IF(AI70&lt;=datos!$AC$4,datos!$AE$4,IF(AI70&lt;=datos!$AC$5,datos!$AE$5,IF(AI70&lt;=datos!$AC$6,datos!$AE$6,IF(AI70&lt;=datos!$AC$7,datos!$AE$7,""))))))</f>
        <v>Baja</v>
      </c>
      <c r="AI70" s="104">
        <f>IF(AD70="","",IF(T70=1,IF(AD70="Probabilidad",P70-(P70*AG70),P70),IF(AD70="Probabilidad",#REF!-(#REF!*AG70),#REF!)))</f>
        <v>0.36</v>
      </c>
      <c r="AJ70" s="105" t="str">
        <f>+IF(AK70&lt;=datos!$AD$11,datos!$AC$11,IF(AK70&lt;=datos!$AD$12,datos!$AC$12,IF(AK70&lt;=datos!$AD$13,datos!$AC$13,IF(AK70&lt;=datos!$AD$14,datos!$AC$14,IF(AK70&lt;=datos!$AD$15,datos!$AC$15,"")))))</f>
        <v>Mayor</v>
      </c>
      <c r="AK70" s="104">
        <f>IF(AD70="","",IF(T70=1,IF(AD70="Impacto",R70-(R70*AG70),R70),IF(AD70="Impacto",#REF!-(#REF!*AG70),#REF!)))</f>
        <v>0.8</v>
      </c>
      <c r="AL70" s="105" t="str">
        <f ca="1" t="shared" si="10"/>
        <v>Alto</v>
      </c>
      <c r="AM70" s="147" t="s">
        <v>92</v>
      </c>
      <c r="AN70" s="137" t="s">
        <v>867</v>
      </c>
      <c r="AO70" s="138">
        <v>45322</v>
      </c>
      <c r="AP70" s="135" t="s">
        <v>871</v>
      </c>
    </row>
    <row r="71" spans="1:42" ht="72">
      <c r="A71" s="219">
        <v>39</v>
      </c>
      <c r="B71" s="187" t="s">
        <v>33</v>
      </c>
      <c r="C71" s="187" t="s">
        <v>248</v>
      </c>
      <c r="D71" s="185" t="str">
        <f>_xlfn.IFERROR(VLOOKUP(B71,datos!$B$1:$C$21,2,0),"")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1" s="187" t="s">
        <v>55</v>
      </c>
      <c r="F71" s="187" t="s">
        <v>873</v>
      </c>
      <c r="G71" s="187" t="s">
        <v>874</v>
      </c>
      <c r="H71" s="187" t="s">
        <v>233</v>
      </c>
      <c r="I71" s="187"/>
      <c r="J71" s="187" t="s">
        <v>875</v>
      </c>
      <c r="K71" s="189" t="s">
        <v>184</v>
      </c>
      <c r="L71" s="191" t="s">
        <v>58</v>
      </c>
      <c r="M71" s="195" t="s">
        <v>275</v>
      </c>
      <c r="N71" s="193">
        <v>40</v>
      </c>
      <c r="O71" s="221" t="str">
        <f>_xlfn.IFERROR(VLOOKUP(P71,datos!$AC$2:$AE$7,3,0),"")</f>
        <v>Media</v>
      </c>
      <c r="P71" s="217">
        <f>+IF(OR(N71="",N71=0),"",IF(N71&lt;=datos!$AD$3,datos!$AC$3,IF(AND(N71&gt;datos!$AD$3,N71&lt;=datos!$AD$4),datos!$AC$4,IF(AND(N71&gt;datos!$AD$4,N71&lt;=datos!$AD$5),datos!$AC$5,IF(AND(N71&gt;datos!$AD$5,N71&lt;=datos!$AD$6),datos!$AC$6,IF(N71&gt;datos!$AD$7,datos!$AC$7,0))))))</f>
        <v>0.6</v>
      </c>
      <c r="Q71" s="215" t="str">
        <f>+HLOOKUP(A71,'Impacto Riesgo de Corrupción'!$D$8:$AY$29,22,0)</f>
        <v>Mayor</v>
      </c>
      <c r="R71" s="217">
        <f>+IF(Q71="","",VLOOKUP(Q71,datos!$AC$12:$AD$15,2,0))</f>
        <v>0.8</v>
      </c>
      <c r="S71" s="197" t="str">
        <f ca="1" t="shared" si="9"/>
        <v>Alto</v>
      </c>
      <c r="T71" s="92">
        <v>1</v>
      </c>
      <c r="U71" s="84" t="s">
        <v>879</v>
      </c>
      <c r="V71" s="83" t="s">
        <v>880</v>
      </c>
      <c r="W71" s="83" t="s">
        <v>881</v>
      </c>
      <c r="X71" s="83" t="s">
        <v>882</v>
      </c>
      <c r="Y71" s="83" t="s">
        <v>883</v>
      </c>
      <c r="Z71" s="83" t="s">
        <v>884</v>
      </c>
      <c r="AA71" s="83" t="s">
        <v>885</v>
      </c>
      <c r="AB71" s="83" t="s">
        <v>886</v>
      </c>
      <c r="AC71" s="83" t="s">
        <v>887</v>
      </c>
      <c r="AD71" s="90" t="str">
        <f>IF(AE71="","",VLOOKUP(AE71,datos!$AT$6:$AU$9,2,0))</f>
        <v>Probabilidad</v>
      </c>
      <c r="AE71" s="84" t="s">
        <v>80</v>
      </c>
      <c r="AF71" s="84" t="s">
        <v>84</v>
      </c>
      <c r="AG71" s="85">
        <f>IF(AND(AE71="",AF71=""),"",IF(AE71="",0,VLOOKUP(AE71,datos!$AP$3:$AR$7,3,0))+IF(AF71="",0,VLOOKUP(AF71,datos!$AP$3:$AR$7,3,0)))</f>
        <v>0.4</v>
      </c>
      <c r="AH71" s="103" t="str">
        <f>IF(OR(AI71="",AI71=0),"",IF(AI71&lt;=datos!$AC$3,datos!$AE$3,IF(AI71&lt;=datos!$AC$4,datos!$AE$4,IF(AI71&lt;=datos!$AC$5,datos!$AE$5,IF(AI71&lt;=datos!$AC$6,datos!$AE$6,IF(AI71&lt;=datos!$AC$7,datos!$AE$7,""))))))</f>
        <v>Baja</v>
      </c>
      <c r="AI71" s="104">
        <f>IF(AD71="","",IF(T71=1,IF(AD71="Probabilidad",P71-(P71*AG71),P71),IF(AD71="Probabilidad",#REF!-(#REF!*AG71),#REF!)))</f>
        <v>0.36</v>
      </c>
      <c r="AJ71" s="105" t="str">
        <f>+IF(AK71&lt;=datos!$AD$11,datos!$AC$11,IF(AK71&lt;=datos!$AD$12,datos!$AC$12,IF(AK71&lt;=datos!$AD$13,datos!$AC$13,IF(AK71&lt;=datos!$AD$14,datos!$AC$14,IF(AK71&lt;=datos!$AD$15,datos!$AC$15,"")))))</f>
        <v>Mayor</v>
      </c>
      <c r="AK71" s="104">
        <f>IF(AD71="","",IF(T71=1,IF(AD71="Impacto",R71-(R71*AG71),R71),IF(AD71="Impacto",#REF!-(#REF!*AG71),#REF!)))</f>
        <v>0.8</v>
      </c>
      <c r="AL71" s="105" t="str">
        <f ca="1" t="shared" si="10"/>
        <v>Alto</v>
      </c>
      <c r="AM71" s="224" t="s">
        <v>92</v>
      </c>
      <c r="AN71" s="226" t="s">
        <v>921</v>
      </c>
      <c r="AO71" s="228">
        <v>44958</v>
      </c>
      <c r="AP71" s="199" t="s">
        <v>922</v>
      </c>
    </row>
    <row r="72" spans="1:42" ht="60">
      <c r="A72" s="220"/>
      <c r="B72" s="188"/>
      <c r="C72" s="188"/>
      <c r="D72" s="186"/>
      <c r="E72" s="188"/>
      <c r="F72" s="188"/>
      <c r="G72" s="188"/>
      <c r="H72" s="188"/>
      <c r="I72" s="188"/>
      <c r="J72" s="188"/>
      <c r="K72" s="190"/>
      <c r="L72" s="192"/>
      <c r="M72" s="196"/>
      <c r="N72" s="194"/>
      <c r="O72" s="222"/>
      <c r="P72" s="218"/>
      <c r="Q72" s="216"/>
      <c r="R72" s="218" t="e">
        <f>IF(OR(#REF!=datos!$AB$10,#REF!=datos!$AB$16),"",VLOOKUP(#REF!,datos!$AA$10:$AC$21,3,0))</f>
        <v>#REF!</v>
      </c>
      <c r="S72" s="198"/>
      <c r="T72" s="93">
        <v>2</v>
      </c>
      <c r="U72" s="80" t="s">
        <v>888</v>
      </c>
      <c r="V72" s="79" t="s">
        <v>889</v>
      </c>
      <c r="W72" s="79" t="s">
        <v>881</v>
      </c>
      <c r="X72" s="79" t="s">
        <v>890</v>
      </c>
      <c r="Y72" s="79" t="s">
        <v>891</v>
      </c>
      <c r="Z72" s="79" t="s">
        <v>892</v>
      </c>
      <c r="AA72" s="79" t="s">
        <v>893</v>
      </c>
      <c r="AB72" s="79" t="s">
        <v>894</v>
      </c>
      <c r="AC72" s="79" t="s">
        <v>887</v>
      </c>
      <c r="AD72" s="89" t="str">
        <f>IF(AE72="","",VLOOKUP(AE72,datos!$AT$6:$AU$9,2,0))</f>
        <v>Probabilidad</v>
      </c>
      <c r="AE72" s="80" t="s">
        <v>80</v>
      </c>
      <c r="AF72" s="80" t="s">
        <v>84</v>
      </c>
      <c r="AG72" s="86">
        <f>IF(AND(AE72="",AF72=""),"",IF(AE72="",0,VLOOKUP(AE72,datos!$AP$3:$AR$7,3,0))+IF(AF72="",0,VLOOKUP(AF72,datos!$AP$3:$AR$7,3,0)))</f>
        <v>0.4</v>
      </c>
      <c r="AH72" s="106" t="str">
        <f>IF(OR(AI72="",AI72=0),"",IF(AI72&lt;=datos!$AC$3,datos!$AE$3,IF(AI72&lt;=datos!$AC$4,datos!$AE$4,IF(AI72&lt;=datos!$AC$5,datos!$AE$5,IF(AI72&lt;=datos!$AC$6,datos!$AE$6,IF(AI72&lt;=datos!$AC$7,datos!$AE$7,""))))))</f>
        <v>Baja</v>
      </c>
      <c r="AI72" s="107">
        <f aca="true" t="shared" si="11" ref="AI72:AI81">IF(AD72="","",IF(T72=1,IF(AD72="Probabilidad",P72-(P72*AG72),P72),IF(AD72="Probabilidad",AI71-(AI71*AG72),AI71)))</f>
        <v>0.216</v>
      </c>
      <c r="AJ72" s="108" t="str">
        <f>+IF(AK72&lt;=datos!$AD$11,datos!$AC$11,IF(AK72&lt;=datos!$AD$12,datos!$AC$12,IF(AK72&lt;=datos!$AD$13,datos!$AC$13,IF(AK72&lt;=datos!$AD$14,datos!$AC$14,IF(AK72&lt;=datos!$AD$15,datos!$AC$15,"")))))</f>
        <v>Mayor</v>
      </c>
      <c r="AK72" s="107">
        <f aca="true" t="shared" si="12" ref="AK72:AK81">IF(AD72="","",IF(T72=1,IF(AD72="Impacto",R72-(R72*AG72),R72),IF(AD72="Impacto",AK71-(AK71*AG72),AK71)))</f>
        <v>0.8</v>
      </c>
      <c r="AL72" s="108" t="str">
        <f ca="1" t="shared" si="10"/>
        <v>Alto</v>
      </c>
      <c r="AM72" s="225"/>
      <c r="AN72" s="227"/>
      <c r="AO72" s="229"/>
      <c r="AP72" s="200"/>
    </row>
    <row r="73" spans="1:42" ht="72.75" thickBot="1">
      <c r="A73" s="220"/>
      <c r="B73" s="188"/>
      <c r="C73" s="188"/>
      <c r="D73" s="186"/>
      <c r="E73" s="188"/>
      <c r="F73" s="188"/>
      <c r="G73" s="188"/>
      <c r="H73" s="188"/>
      <c r="I73" s="188"/>
      <c r="J73" s="188"/>
      <c r="K73" s="190"/>
      <c r="L73" s="192"/>
      <c r="M73" s="196"/>
      <c r="N73" s="194"/>
      <c r="O73" s="222"/>
      <c r="P73" s="218"/>
      <c r="Q73" s="216"/>
      <c r="R73" s="218" t="e">
        <f>IF(OR(#REF!=datos!$AB$10,#REF!=datos!$AB$16),"",VLOOKUP(#REF!,datos!$AA$10:$AC$21,3,0))</f>
        <v>#REF!</v>
      </c>
      <c r="S73" s="198"/>
      <c r="T73" s="93">
        <v>3</v>
      </c>
      <c r="U73" s="80" t="s">
        <v>895</v>
      </c>
      <c r="V73" s="79" t="s">
        <v>889</v>
      </c>
      <c r="W73" s="79" t="s">
        <v>881</v>
      </c>
      <c r="X73" s="79" t="s">
        <v>896</v>
      </c>
      <c r="Y73" s="79" t="s">
        <v>897</v>
      </c>
      <c r="Z73" s="79" t="s">
        <v>898</v>
      </c>
      <c r="AA73" s="79" t="s">
        <v>899</v>
      </c>
      <c r="AB73" s="79" t="s">
        <v>900</v>
      </c>
      <c r="AC73" s="79" t="s">
        <v>887</v>
      </c>
      <c r="AD73" s="89" t="str">
        <f>IF(AE73="","",VLOOKUP(AE73,datos!$AT$6:$AU$9,2,0))</f>
        <v>Probabilidad</v>
      </c>
      <c r="AE73" s="80" t="s">
        <v>80</v>
      </c>
      <c r="AF73" s="80" t="s">
        <v>84</v>
      </c>
      <c r="AG73" s="86">
        <f>IF(AND(AE73="",AF73=""),"",IF(AE73="",0,VLOOKUP(AE73,datos!$AP$3:$AR$7,3,0))+IF(AF73="",0,VLOOKUP(AF73,datos!$AP$3:$AR$7,3,0)))</f>
        <v>0.4</v>
      </c>
      <c r="AH73" s="106" t="str">
        <f>IF(OR(AI73="",AI73=0),"",IF(AI73&lt;=datos!$AC$3,datos!$AE$3,IF(AI73&lt;=datos!$AC$4,datos!$AE$4,IF(AI73&lt;=datos!$AC$5,datos!$AE$5,IF(AI73&lt;=datos!$AC$6,datos!$AE$6,IF(AI73&lt;=datos!$AC$7,datos!$AE$7,""))))))</f>
        <v>Muy Baja</v>
      </c>
      <c r="AI73" s="107">
        <f t="shared" si="11"/>
        <v>0.1296</v>
      </c>
      <c r="AJ73" s="108" t="str">
        <f>+IF(AK73&lt;=datos!$AD$11,datos!$AC$11,IF(AK73&lt;=datos!$AD$12,datos!$AC$12,IF(AK73&lt;=datos!$AD$13,datos!$AC$13,IF(AK73&lt;=datos!$AD$14,datos!$AC$14,IF(AK73&lt;=datos!$AD$15,datos!$AC$15,"")))))</f>
        <v>Mayor</v>
      </c>
      <c r="AK73" s="107">
        <f t="shared" si="12"/>
        <v>0.8</v>
      </c>
      <c r="AL73" s="108" t="str">
        <f ca="1" t="shared" si="10"/>
        <v>Alto</v>
      </c>
      <c r="AM73" s="225"/>
      <c r="AN73" s="227"/>
      <c r="AO73" s="229"/>
      <c r="AP73" s="200"/>
    </row>
    <row r="74" spans="1:42" ht="108">
      <c r="A74" s="219">
        <v>40</v>
      </c>
      <c r="B74" s="187" t="s">
        <v>33</v>
      </c>
      <c r="C74" s="187" t="s">
        <v>248</v>
      </c>
      <c r="D74" s="185"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187" t="s">
        <v>55</v>
      </c>
      <c r="F74" s="187" t="s">
        <v>876</v>
      </c>
      <c r="G74" s="187" t="s">
        <v>877</v>
      </c>
      <c r="H74" s="187" t="s">
        <v>233</v>
      </c>
      <c r="I74" s="187"/>
      <c r="J74" s="187" t="s">
        <v>878</v>
      </c>
      <c r="K74" s="189" t="s">
        <v>184</v>
      </c>
      <c r="L74" s="191" t="s">
        <v>198</v>
      </c>
      <c r="M74" s="195" t="s">
        <v>272</v>
      </c>
      <c r="N74" s="193">
        <v>8760</v>
      </c>
      <c r="O74" s="221" t="str">
        <f>_xlfn.IFERROR(VLOOKUP(P74,datos!$AC$2:$AE$7,3,0),"")</f>
        <v>Muy Alta</v>
      </c>
      <c r="P74" s="217">
        <f>+IF(OR(N74="",N74=0),"",IF(N74&lt;=datos!$AD$3,datos!$AC$3,IF(AND(N74&gt;datos!$AD$3,N74&lt;=datos!$AD$4),datos!$AC$4,IF(AND(N74&gt;datos!$AD$4,N74&lt;=datos!$AD$5),datos!$AC$5,IF(AND(N74&gt;datos!$AD$5,N74&lt;=datos!$AD$6),datos!$AC$6,IF(N74&gt;datos!$AD$7,datos!$AC$7,0))))))</f>
        <v>1</v>
      </c>
      <c r="Q74" s="215" t="str">
        <f>+HLOOKUP(A74,'Impacto Riesgo de Corrupción'!$D$8:$AY$29,22,0)</f>
        <v>Catastrófico</v>
      </c>
      <c r="R74" s="217">
        <f>+IF(Q74="","",VLOOKUP(Q74,datos!$AC$12:$AD$15,2,0))</f>
        <v>1</v>
      </c>
      <c r="S74" s="197" t="str">
        <f ca="1">_xlfn.IFERROR(INDIRECT("datos!"&amp;HLOOKUP(Q74,calculo_imp,2,FALSE)&amp;VLOOKUP(O74,calculo_prob,2,FALSE)),"")</f>
        <v>Extremo</v>
      </c>
      <c r="T74" s="92">
        <v>1</v>
      </c>
      <c r="U74" s="84" t="s">
        <v>901</v>
      </c>
      <c r="V74" s="83" t="s">
        <v>902</v>
      </c>
      <c r="W74" s="83" t="s">
        <v>903</v>
      </c>
      <c r="X74" s="83" t="s">
        <v>904</v>
      </c>
      <c r="Y74" s="83" t="s">
        <v>905</v>
      </c>
      <c r="Z74" s="83" t="s">
        <v>906</v>
      </c>
      <c r="AA74" s="83" t="s">
        <v>907</v>
      </c>
      <c r="AB74" s="83" t="s">
        <v>908</v>
      </c>
      <c r="AC74" s="83" t="s">
        <v>887</v>
      </c>
      <c r="AD74" s="90" t="str">
        <f>IF(AE74="","",VLOOKUP(AE74,datos!$AT$6:$AU$9,2,0))</f>
        <v>Probabilidad</v>
      </c>
      <c r="AE74" s="84" t="s">
        <v>80</v>
      </c>
      <c r="AF74" s="84" t="s">
        <v>84</v>
      </c>
      <c r="AG74" s="85">
        <f>IF(AND(AE74="",AF74=""),"",IF(AE74="",0,VLOOKUP(AE74,datos!$AP$3:$AR$7,3,0))+IF(AF74="",0,VLOOKUP(AF74,datos!$AP$3:$AR$7,3,0)))</f>
        <v>0.4</v>
      </c>
      <c r="AH74" s="103" t="str">
        <f>IF(OR(AI74="",AI74=0),"",IF(AI74&lt;=datos!$AC$3,datos!$AE$3,IF(AI74&lt;=datos!$AC$4,datos!$AE$4,IF(AI74&lt;=datos!$AC$5,datos!$AE$5,IF(AI74&lt;=datos!$AC$6,datos!$AE$6,IF(AI74&lt;=datos!$AC$7,datos!$AE$7,""))))))</f>
        <v>Media</v>
      </c>
      <c r="AI74" s="104">
        <f>IF(AD74="","",IF(T74=1,IF(AD74="Probabilidad",P74-(P74*AG74),P74),IF(AD74="Probabilidad",#REF!-(#REF!*AG74),#REF!)))</f>
        <v>0.6</v>
      </c>
      <c r="AJ74" s="105" t="str">
        <f>+IF(AK74&lt;=datos!$AD$11,datos!$AC$11,IF(AK74&lt;=datos!$AD$12,datos!$AC$12,IF(AK74&lt;=datos!$AD$13,datos!$AC$13,IF(AK74&lt;=datos!$AD$14,datos!$AC$14,IF(AK74&lt;=datos!$AD$15,datos!$AC$15,"")))))</f>
        <v>Catastrófico</v>
      </c>
      <c r="AK74" s="104">
        <f>IF(AD74="","",IF(T74=1,IF(AD74="Impacto",R74-(R74*AG74),R74),IF(AD74="Impacto",#REF!-(#REF!*AG74),#REF!)))</f>
        <v>1</v>
      </c>
      <c r="AL74" s="105" t="str">
        <f ca="1" t="shared" si="10"/>
        <v>Extremo</v>
      </c>
      <c r="AM74" s="224" t="s">
        <v>92</v>
      </c>
      <c r="AN74" s="226" t="s">
        <v>923</v>
      </c>
      <c r="AO74" s="228" t="s">
        <v>550</v>
      </c>
      <c r="AP74" s="199"/>
    </row>
    <row r="75" spans="1:42" ht="60">
      <c r="A75" s="220"/>
      <c r="B75" s="188"/>
      <c r="C75" s="188"/>
      <c r="D75" s="186"/>
      <c r="E75" s="188"/>
      <c r="F75" s="188"/>
      <c r="G75" s="188"/>
      <c r="H75" s="188"/>
      <c r="I75" s="188"/>
      <c r="J75" s="188"/>
      <c r="K75" s="190"/>
      <c r="L75" s="192"/>
      <c r="M75" s="196"/>
      <c r="N75" s="194"/>
      <c r="O75" s="222"/>
      <c r="P75" s="218"/>
      <c r="Q75" s="216"/>
      <c r="R75" s="218" t="e">
        <f>IF(OR(#REF!=datos!$AB$10,#REF!=datos!$AB$16),"",VLOOKUP(#REF!,datos!$AA$10:$AC$21,3,0))</f>
        <v>#REF!</v>
      </c>
      <c r="S75" s="198"/>
      <c r="T75" s="93">
        <v>2</v>
      </c>
      <c r="U75" s="80" t="s">
        <v>909</v>
      </c>
      <c r="V75" s="79" t="s">
        <v>910</v>
      </c>
      <c r="W75" s="79" t="s">
        <v>433</v>
      </c>
      <c r="X75" s="79" t="s">
        <v>911</v>
      </c>
      <c r="Y75" s="79" t="s">
        <v>912</v>
      </c>
      <c r="Z75" s="79" t="s">
        <v>913</v>
      </c>
      <c r="AA75" s="79" t="s">
        <v>914</v>
      </c>
      <c r="AB75" s="79" t="s">
        <v>914</v>
      </c>
      <c r="AC75" s="79" t="s">
        <v>887</v>
      </c>
      <c r="AD75" s="89" t="str">
        <f>IF(AE75="","",VLOOKUP(AE75,datos!$AT$6:$AU$9,2,0))</f>
        <v>Probabilidad</v>
      </c>
      <c r="AE75" s="80" t="s">
        <v>80</v>
      </c>
      <c r="AF75" s="80" t="s">
        <v>84</v>
      </c>
      <c r="AG75" s="86">
        <f>IF(AND(AE75="",AF75=""),"",IF(AE75="",0,VLOOKUP(AE75,datos!$AP$3:$AR$7,3,0))+IF(AF75="",0,VLOOKUP(AF75,datos!$AP$3:$AR$7,3,0)))</f>
        <v>0.4</v>
      </c>
      <c r="AH75" s="106" t="str">
        <f>IF(OR(AI75="",AI75=0),"",IF(AI75&lt;=datos!$AC$3,datos!$AE$3,IF(AI75&lt;=datos!$AC$4,datos!$AE$4,IF(AI75&lt;=datos!$AC$5,datos!$AE$5,IF(AI75&lt;=datos!$AC$6,datos!$AE$6,IF(AI75&lt;=datos!$AC$7,datos!$AE$7,""))))))</f>
        <v>Baja</v>
      </c>
      <c r="AI75" s="107">
        <f t="shared" si="11"/>
        <v>0.36</v>
      </c>
      <c r="AJ75" s="108" t="str">
        <f>+IF(AK75&lt;=datos!$AD$11,datos!$AC$11,IF(AK75&lt;=datos!$AD$12,datos!$AC$12,IF(AK75&lt;=datos!$AD$13,datos!$AC$13,IF(AK75&lt;=datos!$AD$14,datos!$AC$14,IF(AK75&lt;=datos!$AD$15,datos!$AC$15,"")))))</f>
        <v>Catastrófico</v>
      </c>
      <c r="AK75" s="107">
        <f t="shared" si="12"/>
        <v>1</v>
      </c>
      <c r="AL75" s="108" t="str">
        <f ca="1" t="shared" si="10"/>
        <v>Extremo</v>
      </c>
      <c r="AM75" s="225"/>
      <c r="AN75" s="227"/>
      <c r="AO75" s="229"/>
      <c r="AP75" s="200"/>
    </row>
    <row r="76" spans="1:42" ht="96.75" thickBot="1">
      <c r="A76" s="220"/>
      <c r="B76" s="188"/>
      <c r="C76" s="188"/>
      <c r="D76" s="186"/>
      <c r="E76" s="188"/>
      <c r="F76" s="188"/>
      <c r="G76" s="188"/>
      <c r="H76" s="188"/>
      <c r="I76" s="188"/>
      <c r="J76" s="188"/>
      <c r="K76" s="190"/>
      <c r="L76" s="192"/>
      <c r="M76" s="196"/>
      <c r="N76" s="194"/>
      <c r="O76" s="222"/>
      <c r="P76" s="218"/>
      <c r="Q76" s="216"/>
      <c r="R76" s="218" t="e">
        <f>IF(OR(#REF!=datos!$AB$10,#REF!=datos!$AB$16),"",VLOOKUP(#REF!,datos!$AA$10:$AC$21,3,0))</f>
        <v>#REF!</v>
      </c>
      <c r="S76" s="198"/>
      <c r="T76" s="93">
        <v>3</v>
      </c>
      <c r="U76" s="80" t="s">
        <v>915</v>
      </c>
      <c r="V76" s="79" t="s">
        <v>910</v>
      </c>
      <c r="W76" s="79" t="s">
        <v>903</v>
      </c>
      <c r="X76" s="79" t="s">
        <v>916</v>
      </c>
      <c r="Y76" s="79" t="s">
        <v>917</v>
      </c>
      <c r="Z76" s="79" t="s">
        <v>918</v>
      </c>
      <c r="AA76" s="79" t="s">
        <v>919</v>
      </c>
      <c r="AB76" s="79" t="s">
        <v>920</v>
      </c>
      <c r="AC76" s="79" t="s">
        <v>887</v>
      </c>
      <c r="AD76" s="89" t="str">
        <f>IF(AE76="","",VLOOKUP(AE76,datos!$AT$6:$AU$9,2,0))</f>
        <v>Probabilidad</v>
      </c>
      <c r="AE76" s="80" t="s">
        <v>80</v>
      </c>
      <c r="AF76" s="80" t="s">
        <v>84</v>
      </c>
      <c r="AG76" s="86">
        <f>IF(AND(AE76="",AF76=""),"",IF(AE76="",0,VLOOKUP(AE76,datos!$AP$3:$AR$7,3,0))+IF(AF76="",0,VLOOKUP(AF76,datos!$AP$3:$AR$7,3,0)))</f>
        <v>0.4</v>
      </c>
      <c r="AH76" s="106" t="str">
        <f>IF(OR(AI76="",AI76=0),"",IF(AI76&lt;=datos!$AC$3,datos!$AE$3,IF(AI76&lt;=datos!$AC$4,datos!$AE$4,IF(AI76&lt;=datos!$AC$5,datos!$AE$5,IF(AI76&lt;=datos!$AC$6,datos!$AE$6,IF(AI76&lt;=datos!$AC$7,datos!$AE$7,""))))))</f>
        <v>Baja</v>
      </c>
      <c r="AI76" s="107">
        <f t="shared" si="11"/>
        <v>0.216</v>
      </c>
      <c r="AJ76" s="108" t="str">
        <f>+IF(AK76&lt;=datos!$AD$11,datos!$AC$11,IF(AK76&lt;=datos!$AD$12,datos!$AC$12,IF(AK76&lt;=datos!$AD$13,datos!$AC$13,IF(AK76&lt;=datos!$AD$14,datos!$AC$14,IF(AK76&lt;=datos!$AD$15,datos!$AC$15,"")))))</f>
        <v>Catastrófico</v>
      </c>
      <c r="AK76" s="107">
        <f t="shared" si="12"/>
        <v>1</v>
      </c>
      <c r="AL76" s="108" t="str">
        <f ca="1" t="shared" si="10"/>
        <v>Extremo</v>
      </c>
      <c r="AM76" s="225"/>
      <c r="AN76" s="227"/>
      <c r="AO76" s="229"/>
      <c r="AP76" s="200"/>
    </row>
    <row r="77" spans="1:42" ht="276.75" thickBot="1">
      <c r="A77" s="141">
        <v>41</v>
      </c>
      <c r="B77" s="82" t="s">
        <v>19</v>
      </c>
      <c r="C77" s="84" t="s">
        <v>249</v>
      </c>
      <c r="D77" s="90" t="str">
        <f>_xlfn.IFERROR(VLOOKUP(B77,datos!$B$1:$C$21,2,0),"")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7" s="82" t="s">
        <v>54</v>
      </c>
      <c r="F77" s="82" t="s">
        <v>924</v>
      </c>
      <c r="G77" s="82" t="s">
        <v>924</v>
      </c>
      <c r="H77" s="84" t="s">
        <v>232</v>
      </c>
      <c r="I77" s="84" t="s">
        <v>925</v>
      </c>
      <c r="J77" s="82" t="s">
        <v>926</v>
      </c>
      <c r="K77" s="139" t="s">
        <v>184</v>
      </c>
      <c r="L77" s="140" t="s">
        <v>197</v>
      </c>
      <c r="M77" s="143" t="s">
        <v>275</v>
      </c>
      <c r="N77" s="142">
        <v>12</v>
      </c>
      <c r="O77" s="105" t="str">
        <f>_xlfn.IFERROR(VLOOKUP(P77,datos!$AC$2:$AE$7,3,0),"")</f>
        <v>Baja</v>
      </c>
      <c r="P77" s="144">
        <f>+IF(OR(N77="",N77=0),"",IF(N77&lt;=datos!$AD$3,datos!$AC$3,IF(AND(N77&gt;datos!$AD$3,N77&lt;=datos!$AD$4),datos!$AC$4,IF(AND(N77&gt;datos!$AD$4,N77&lt;=datos!$AD$5),datos!$AC$5,IF(AND(N77&gt;datos!$AD$5,N77&lt;=datos!$AD$6),datos!$AC$6,IF(N77&gt;datos!$AD$7,datos!$AC$7,0))))))</f>
        <v>0.4</v>
      </c>
      <c r="Q77" s="145" t="str">
        <f>+HLOOKUP(A77,'Impacto Riesgo de Corrupción'!$D$8:$AY$29,22,0)</f>
        <v>Moderado</v>
      </c>
      <c r="R77" s="144">
        <f>+IF(Q77="","",VLOOKUP(Q77,datos!$AC$12:$AD$15,2,0))</f>
        <v>0.6</v>
      </c>
      <c r="S77" s="134" t="str">
        <f ca="1">_xlfn.IFERROR(INDIRECT("datos!"&amp;HLOOKUP(Q77,calculo_imp,2,FALSE)&amp;VLOOKUP(O77,calculo_prob,2,FALSE)),"")</f>
        <v>Moderado</v>
      </c>
      <c r="T77" s="95">
        <v>1</v>
      </c>
      <c r="U77" s="82" t="s">
        <v>934</v>
      </c>
      <c r="V77" s="81" t="s">
        <v>935</v>
      </c>
      <c r="W77" s="81" t="s">
        <v>628</v>
      </c>
      <c r="X77" s="81" t="s">
        <v>936</v>
      </c>
      <c r="Y77" s="81" t="s">
        <v>937</v>
      </c>
      <c r="Z77" s="81" t="s">
        <v>938</v>
      </c>
      <c r="AA77" s="81" t="s">
        <v>939</v>
      </c>
      <c r="AB77" s="81" t="s">
        <v>937</v>
      </c>
      <c r="AC77" s="81" t="s">
        <v>940</v>
      </c>
      <c r="AD77" s="88" t="str">
        <f>IF(AE77="","",VLOOKUP(AE77,datos!$AT$6:$AU$9,2,0))</f>
        <v>Probabilidad</v>
      </c>
      <c r="AE77" s="82" t="s">
        <v>80</v>
      </c>
      <c r="AF77" s="82" t="s">
        <v>84</v>
      </c>
      <c r="AG77" s="87">
        <f>IF(AND(AE77="",AF77=""),"",IF(AE77="",0,VLOOKUP(AE77,datos!$AP$3:$AR$7,3,0))+IF(AF77="",0,VLOOKUP(AF77,datos!$AP$3:$AR$7,3,0)))</f>
        <v>0.4</v>
      </c>
      <c r="AH77" s="112" t="str">
        <f>IF(OR(AI77="",AI77=0),"",IF(AI77&lt;=datos!$AC$3,datos!$AE$3,IF(AI77&lt;=datos!$AC$4,datos!$AE$4,IF(AI77&lt;=datos!$AC$5,datos!$AE$5,IF(AI77&lt;=datos!$AC$6,datos!$AE$6,IF(AI77&lt;=datos!$AC$7,datos!$AE$7,""))))))</f>
        <v>Baja</v>
      </c>
      <c r="AI77" s="109">
        <f>IF(AD77="","",IF(T77=1,IF(AD77="Probabilidad",P77-(P77*AG77),P77),IF(AD77="Probabilidad",#REF!-(#REF!*AG77),#REF!)))</f>
        <v>0.24</v>
      </c>
      <c r="AJ77" s="110" t="str">
        <f>+IF(AK77&lt;=datos!$AD$11,datos!$AC$11,IF(AK77&lt;=datos!$AD$12,datos!$AC$12,IF(AK77&lt;=datos!$AD$13,datos!$AC$13,IF(AK77&lt;=datos!$AD$14,datos!$AC$14,IF(AK77&lt;=datos!$AD$15,datos!$AC$15,"")))))</f>
        <v>Moderado</v>
      </c>
      <c r="AK77" s="109">
        <f>IF(AD77="","",IF(T77=1,IF(AD77="Impacto",R77-(R77*AG77),R77),IF(AD77="Impacto",#REF!-(#REF!*AG77),#REF!)))</f>
        <v>0.6</v>
      </c>
      <c r="AL77" s="110" t="str">
        <f ca="1" t="shared" si="10"/>
        <v>Moderado</v>
      </c>
      <c r="AM77" s="147"/>
      <c r="AN77" s="137"/>
      <c r="AO77" s="138"/>
      <c r="AP77" s="136"/>
    </row>
    <row r="78" spans="1:42" ht="132">
      <c r="A78" s="219">
        <v>42</v>
      </c>
      <c r="B78" s="187" t="s">
        <v>19</v>
      </c>
      <c r="C78" s="187" t="s">
        <v>247</v>
      </c>
      <c r="D78" s="185" t="str">
        <f>_xlfn.IFERROR(VLOOKUP(B78,datos!$B$1:$C$21,2,0),"")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8" s="187" t="s">
        <v>55</v>
      </c>
      <c r="F78" s="187" t="s">
        <v>927</v>
      </c>
      <c r="G78" s="187" t="s">
        <v>928</v>
      </c>
      <c r="H78" s="187" t="s">
        <v>232</v>
      </c>
      <c r="I78" s="187" t="s">
        <v>929</v>
      </c>
      <c r="J78" s="187" t="s">
        <v>930</v>
      </c>
      <c r="K78" s="189" t="s">
        <v>184</v>
      </c>
      <c r="L78" s="191" t="s">
        <v>59</v>
      </c>
      <c r="M78" s="195" t="s">
        <v>275</v>
      </c>
      <c r="N78" s="193">
        <v>300</v>
      </c>
      <c r="O78" s="221" t="str">
        <f>_xlfn.IFERROR(VLOOKUP(P78,datos!$AC$2:$AE$7,3,0),"")</f>
        <v>Media</v>
      </c>
      <c r="P78" s="217">
        <f>+IF(OR(N78="",N78=0),"",IF(N78&lt;=datos!$AD$3,datos!$AC$3,IF(AND(N78&gt;datos!$AD$3,N78&lt;=datos!$AD$4),datos!$AC$4,IF(AND(N78&gt;datos!$AD$4,N78&lt;=datos!$AD$5),datos!$AC$5,IF(AND(N78&gt;datos!$AD$5,N78&lt;=datos!$AD$6),datos!$AC$6,IF(N78&gt;datos!$AD$7,datos!$AC$7,0))))))</f>
        <v>0.6</v>
      </c>
      <c r="Q78" s="215" t="str">
        <f>+HLOOKUP(A78,'Impacto Riesgo de Corrupción'!$D$8:$AY$29,22,0)</f>
        <v>Mayor</v>
      </c>
      <c r="R78" s="217">
        <f>+IF(Q78="","",VLOOKUP(Q78,datos!$AC$12:$AD$15,2,0))</f>
        <v>0.8</v>
      </c>
      <c r="S78" s="197" t="str">
        <f ca="1">_xlfn.IFERROR(INDIRECT("datos!"&amp;HLOOKUP(Q78,calculo_imp,2,FALSE)&amp;VLOOKUP(O78,calculo_prob,2,FALSE)),"")</f>
        <v>Alto</v>
      </c>
      <c r="T78" s="92">
        <v>1</v>
      </c>
      <c r="U78" s="84" t="s">
        <v>941</v>
      </c>
      <c r="V78" s="83" t="s">
        <v>942</v>
      </c>
      <c r="W78" s="83" t="s">
        <v>628</v>
      </c>
      <c r="X78" s="83" t="s">
        <v>943</v>
      </c>
      <c r="Y78" s="83" t="s">
        <v>944</v>
      </c>
      <c r="Z78" s="83" t="s">
        <v>945</v>
      </c>
      <c r="AA78" s="83" t="s">
        <v>946</v>
      </c>
      <c r="AB78" s="83" t="s">
        <v>946</v>
      </c>
      <c r="AC78" s="83" t="s">
        <v>940</v>
      </c>
      <c r="AD78" s="90" t="str">
        <f>IF(AE78="","",VLOOKUP(AE78,datos!$AT$6:$AU$9,2,0))</f>
        <v>Probabilidad</v>
      </c>
      <c r="AE78" s="84" t="s">
        <v>80</v>
      </c>
      <c r="AF78" s="84" t="s">
        <v>84</v>
      </c>
      <c r="AG78" s="85">
        <f>IF(AND(AE78="",AF78=""),"",IF(AE78="",0,VLOOKUP(AE78,datos!$AP$3:$AR$7,3,0))+IF(AF78="",0,VLOOKUP(AF78,datos!$AP$3:$AR$7,3,0)))</f>
        <v>0.4</v>
      </c>
      <c r="AH78" s="103" t="str">
        <f>IF(OR(AI78="",AI78=0),"",IF(AI78&lt;=datos!$AC$3,datos!$AE$3,IF(AI78&lt;=datos!$AC$4,datos!$AE$4,IF(AI78&lt;=datos!$AC$5,datos!$AE$5,IF(AI78&lt;=datos!$AC$6,datos!$AE$6,IF(AI78&lt;=datos!$AC$7,datos!$AE$7,""))))))</f>
        <v>Baja</v>
      </c>
      <c r="AI78" s="104">
        <f>IF(AD78="","",IF(T78=1,IF(AD78="Probabilidad",P78-(P78*AG78),P78),IF(AD78="Probabilidad",#REF!-(#REF!*AG78),#REF!)))</f>
        <v>0.36</v>
      </c>
      <c r="AJ78" s="105" t="str">
        <f>+IF(AK78&lt;=datos!$AD$11,datos!$AC$11,IF(AK78&lt;=datos!$AD$12,datos!$AC$12,IF(AK78&lt;=datos!$AD$13,datos!$AC$13,IF(AK78&lt;=datos!$AD$14,datos!$AC$14,IF(AK78&lt;=datos!$AD$15,datos!$AC$15,"")))))</f>
        <v>Mayor</v>
      </c>
      <c r="AK78" s="104">
        <f>IF(AD78="","",IF(T78=1,IF(AD78="Impacto",R78-(R78*AG78),R78),IF(AD78="Impacto",#REF!-(#REF!*AG78),#REF!)))</f>
        <v>0.8</v>
      </c>
      <c r="AL78" s="105" t="str">
        <f ca="1" t="shared" si="10"/>
        <v>Alto</v>
      </c>
      <c r="AM78" s="224"/>
      <c r="AN78" s="226"/>
      <c r="AO78" s="228"/>
      <c r="AP78" s="199"/>
    </row>
    <row r="79" spans="1:42" ht="60">
      <c r="A79" s="220"/>
      <c r="B79" s="188"/>
      <c r="C79" s="188"/>
      <c r="D79" s="186"/>
      <c r="E79" s="188"/>
      <c r="F79" s="188"/>
      <c r="G79" s="188"/>
      <c r="H79" s="188"/>
      <c r="I79" s="188"/>
      <c r="J79" s="188"/>
      <c r="K79" s="190"/>
      <c r="L79" s="192"/>
      <c r="M79" s="196"/>
      <c r="N79" s="194"/>
      <c r="O79" s="222"/>
      <c r="P79" s="218"/>
      <c r="Q79" s="216"/>
      <c r="R79" s="218" t="e">
        <f>IF(OR(#REF!=datos!$AB$10,#REF!=datos!$AB$16),"",VLOOKUP(#REF!,datos!$AA$10:$AC$21,3,0))</f>
        <v>#REF!</v>
      </c>
      <c r="S79" s="198"/>
      <c r="T79" s="93">
        <v>2</v>
      </c>
      <c r="U79" s="80" t="s">
        <v>947</v>
      </c>
      <c r="V79" s="79" t="s">
        <v>948</v>
      </c>
      <c r="W79" s="79" t="s">
        <v>949</v>
      </c>
      <c r="X79" s="79" t="s">
        <v>950</v>
      </c>
      <c r="Y79" s="79" t="s">
        <v>951</v>
      </c>
      <c r="Z79" s="79" t="s">
        <v>952</v>
      </c>
      <c r="AA79" s="79" t="s">
        <v>953</v>
      </c>
      <c r="AB79" s="79" t="s">
        <v>954</v>
      </c>
      <c r="AC79" s="79" t="s">
        <v>940</v>
      </c>
      <c r="AD79" s="89" t="str">
        <f>IF(AE79="","",VLOOKUP(AE79,datos!$AT$6:$AU$9,2,0))</f>
        <v>Probabilidad</v>
      </c>
      <c r="AE79" s="80" t="s">
        <v>80</v>
      </c>
      <c r="AF79" s="80" t="s">
        <v>84</v>
      </c>
      <c r="AG79" s="86">
        <f>IF(AND(AE79="",AF79=""),"",IF(AE79="",0,VLOOKUP(AE79,datos!$AP$3:$AR$7,3,0))+IF(AF79="",0,VLOOKUP(AF79,datos!$AP$3:$AR$7,3,0)))</f>
        <v>0.4</v>
      </c>
      <c r="AH79" s="106" t="str">
        <f>IF(OR(AI79="",AI79=0),"",IF(AI79&lt;=datos!$AC$3,datos!$AE$3,IF(AI79&lt;=datos!$AC$4,datos!$AE$4,IF(AI79&lt;=datos!$AC$5,datos!$AE$5,IF(AI79&lt;=datos!$AC$6,datos!$AE$6,IF(AI79&lt;=datos!$AC$7,datos!$AE$7,""))))))</f>
        <v>Baja</v>
      </c>
      <c r="AI79" s="107">
        <f t="shared" si="11"/>
        <v>0.216</v>
      </c>
      <c r="AJ79" s="108" t="str">
        <f>+IF(AK79&lt;=datos!$AD$11,datos!$AC$11,IF(AK79&lt;=datos!$AD$12,datos!$AC$12,IF(AK79&lt;=datos!$AD$13,datos!$AC$13,IF(AK79&lt;=datos!$AD$14,datos!$AC$14,IF(AK79&lt;=datos!$AD$15,datos!$AC$15,"")))))</f>
        <v>Mayor</v>
      </c>
      <c r="AK79" s="107">
        <f t="shared" si="12"/>
        <v>0.8</v>
      </c>
      <c r="AL79" s="108" t="str">
        <f ca="1" t="shared" si="10"/>
        <v>Alto</v>
      </c>
      <c r="AM79" s="225"/>
      <c r="AN79" s="227"/>
      <c r="AO79" s="229"/>
      <c r="AP79" s="200"/>
    </row>
    <row r="80" spans="1:42" ht="84">
      <c r="A80" s="220"/>
      <c r="B80" s="188"/>
      <c r="C80" s="188"/>
      <c r="D80" s="186"/>
      <c r="E80" s="188"/>
      <c r="F80" s="188"/>
      <c r="G80" s="188"/>
      <c r="H80" s="188"/>
      <c r="I80" s="188"/>
      <c r="J80" s="188"/>
      <c r="K80" s="190"/>
      <c r="L80" s="192"/>
      <c r="M80" s="196"/>
      <c r="N80" s="194"/>
      <c r="O80" s="222"/>
      <c r="P80" s="218"/>
      <c r="Q80" s="216"/>
      <c r="R80" s="218" t="e">
        <f>IF(OR(#REF!=datos!$AB$10,#REF!=datos!$AB$16),"",VLOOKUP(#REF!,datos!$AA$10:$AC$21,3,0))</f>
        <v>#REF!</v>
      </c>
      <c r="S80" s="198"/>
      <c r="T80" s="93">
        <v>3</v>
      </c>
      <c r="U80" s="80" t="s">
        <v>955</v>
      </c>
      <c r="V80" s="79" t="s">
        <v>956</v>
      </c>
      <c r="W80" s="79" t="s">
        <v>949</v>
      </c>
      <c r="X80" s="79" t="s">
        <v>957</v>
      </c>
      <c r="Y80" s="79" t="s">
        <v>958</v>
      </c>
      <c r="Z80" s="79" t="s">
        <v>959</v>
      </c>
      <c r="AA80" s="79" t="s">
        <v>960</v>
      </c>
      <c r="AB80" s="79" t="s">
        <v>960</v>
      </c>
      <c r="AC80" s="79" t="s">
        <v>940</v>
      </c>
      <c r="AD80" s="89" t="str">
        <f>IF(AE80="","",VLOOKUP(AE80,datos!$AT$6:$AU$9,2,0))</f>
        <v>Probabilidad</v>
      </c>
      <c r="AE80" s="80" t="s">
        <v>80</v>
      </c>
      <c r="AF80" s="80" t="s">
        <v>84</v>
      </c>
      <c r="AG80" s="86">
        <f>IF(AND(AE80="",AF80=""),"",IF(AE80="",0,VLOOKUP(AE80,datos!$AP$3:$AR$7,3,0))+IF(AF80="",0,VLOOKUP(AF80,datos!$AP$3:$AR$7,3,0)))</f>
        <v>0.4</v>
      </c>
      <c r="AH80" s="106" t="str">
        <f>IF(OR(AI80="",AI80=0),"",IF(AI80&lt;=datos!$AC$3,datos!$AE$3,IF(AI80&lt;=datos!$AC$4,datos!$AE$4,IF(AI80&lt;=datos!$AC$5,datos!$AE$5,IF(AI80&lt;=datos!$AC$6,datos!$AE$6,IF(AI80&lt;=datos!$AC$7,datos!$AE$7,""))))))</f>
        <v>Muy Baja</v>
      </c>
      <c r="AI80" s="107">
        <f t="shared" si="11"/>
        <v>0.1296</v>
      </c>
      <c r="AJ80" s="108" t="str">
        <f>+IF(AK80&lt;=datos!$AD$11,datos!$AC$11,IF(AK80&lt;=datos!$AD$12,datos!$AC$12,IF(AK80&lt;=datos!$AD$13,datos!$AC$13,IF(AK80&lt;=datos!$AD$14,datos!$AC$14,IF(AK80&lt;=datos!$AD$15,datos!$AC$15,"")))))</f>
        <v>Mayor</v>
      </c>
      <c r="AK80" s="107">
        <f t="shared" si="12"/>
        <v>0.8</v>
      </c>
      <c r="AL80" s="108" t="str">
        <f ca="1" t="shared" si="10"/>
        <v>Alto</v>
      </c>
      <c r="AM80" s="225"/>
      <c r="AN80" s="227"/>
      <c r="AO80" s="229"/>
      <c r="AP80" s="200"/>
    </row>
    <row r="81" spans="1:42" ht="84.75" thickBot="1">
      <c r="A81" s="220"/>
      <c r="B81" s="188"/>
      <c r="C81" s="188"/>
      <c r="D81" s="186"/>
      <c r="E81" s="188"/>
      <c r="F81" s="188"/>
      <c r="G81" s="188"/>
      <c r="H81" s="188"/>
      <c r="I81" s="188"/>
      <c r="J81" s="188"/>
      <c r="K81" s="190"/>
      <c r="L81" s="192"/>
      <c r="M81" s="196"/>
      <c r="N81" s="194"/>
      <c r="O81" s="222"/>
      <c r="P81" s="218"/>
      <c r="Q81" s="216"/>
      <c r="R81" s="218" t="e">
        <f>IF(OR(#REF!=datos!$AB$10,#REF!=datos!$AB$16),"",VLOOKUP(#REF!,datos!$AA$10:$AC$21,3,0))</f>
        <v>#REF!</v>
      </c>
      <c r="S81" s="198"/>
      <c r="T81" s="93">
        <v>4</v>
      </c>
      <c r="U81" s="80" t="s">
        <v>961</v>
      </c>
      <c r="V81" s="79" t="s">
        <v>956</v>
      </c>
      <c r="W81" s="79" t="s">
        <v>962</v>
      </c>
      <c r="X81" s="79" t="s">
        <v>963</v>
      </c>
      <c r="Y81" s="79" t="s">
        <v>964</v>
      </c>
      <c r="Z81" s="79" t="s">
        <v>965</v>
      </c>
      <c r="AA81" s="79" t="s">
        <v>960</v>
      </c>
      <c r="AB81" s="79" t="s">
        <v>960</v>
      </c>
      <c r="AC81" s="79" t="s">
        <v>940</v>
      </c>
      <c r="AD81" s="89" t="str">
        <f>IF(AE81="","",VLOOKUP(AE81,datos!$AT$6:$AU$9,2,0))</f>
        <v>Probabilidad</v>
      </c>
      <c r="AE81" s="80" t="s">
        <v>80</v>
      </c>
      <c r="AF81" s="80" t="s">
        <v>84</v>
      </c>
      <c r="AG81" s="86">
        <f>IF(AND(AE81="",AF81=""),"",IF(AE81="",0,VLOOKUP(AE81,datos!$AP$3:$AR$7,3,0))+IF(AF81="",0,VLOOKUP(AF81,datos!$AP$3:$AR$7,3,0)))</f>
        <v>0.4</v>
      </c>
      <c r="AH81" s="106" t="str">
        <f>IF(OR(AI81="",AI81=0),"",IF(AI81&lt;=datos!$AC$3,datos!$AE$3,IF(AI81&lt;=datos!$AC$4,datos!$AE$4,IF(AI81&lt;=datos!$AC$5,datos!$AE$5,IF(AI81&lt;=datos!$AC$6,datos!$AE$6,IF(AI81&lt;=datos!$AC$7,datos!$AE$7,""))))))</f>
        <v>Muy Baja</v>
      </c>
      <c r="AI81" s="107">
        <f t="shared" si="11"/>
        <v>0.07776</v>
      </c>
      <c r="AJ81" s="108" t="str">
        <f>+IF(AK81&lt;=datos!$AD$11,datos!$AC$11,IF(AK81&lt;=datos!$AD$12,datos!$AC$12,IF(AK81&lt;=datos!$AD$13,datos!$AC$13,IF(AK81&lt;=datos!$AD$14,datos!$AC$14,IF(AK81&lt;=datos!$AD$15,datos!$AC$15,"")))))</f>
        <v>Mayor</v>
      </c>
      <c r="AK81" s="107">
        <f t="shared" si="12"/>
        <v>0.8</v>
      </c>
      <c r="AL81" s="108" t="str">
        <f ca="1" t="shared" si="10"/>
        <v>Alto</v>
      </c>
      <c r="AM81" s="225"/>
      <c r="AN81" s="227"/>
      <c r="AO81" s="229"/>
      <c r="AP81" s="200"/>
    </row>
    <row r="82" spans="1:42" ht="60">
      <c r="A82" s="219">
        <v>43</v>
      </c>
      <c r="B82" s="187" t="s">
        <v>19</v>
      </c>
      <c r="C82" s="187" t="s">
        <v>249</v>
      </c>
      <c r="D82" s="185" t="str">
        <f>_xlfn.IFERROR(VLOOKUP(B82,datos!$B$1:$C$21,2,0),"")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82" s="187" t="s">
        <v>54</v>
      </c>
      <c r="F82" s="187" t="s">
        <v>931</v>
      </c>
      <c r="G82" s="187" t="s">
        <v>932</v>
      </c>
      <c r="H82" s="187" t="s">
        <v>233</v>
      </c>
      <c r="I82" s="187"/>
      <c r="J82" s="187" t="s">
        <v>933</v>
      </c>
      <c r="K82" s="189" t="s">
        <v>184</v>
      </c>
      <c r="L82" s="191" t="s">
        <v>197</v>
      </c>
      <c r="M82" s="195" t="s">
        <v>275</v>
      </c>
      <c r="N82" s="193">
        <v>2</v>
      </c>
      <c r="O82" s="221" t="str">
        <f>_xlfn.IFERROR(VLOOKUP(P82,datos!$AC$2:$AE$7,3,0),"")</f>
        <v>Muy Baja</v>
      </c>
      <c r="P82" s="217">
        <f>+IF(OR(N82="",N82=0),"",IF(N82&lt;=datos!$AD$3,datos!$AC$3,IF(AND(N82&gt;datos!$AD$3,N82&lt;=datos!$AD$4),datos!$AC$4,IF(AND(N82&gt;datos!$AD$4,N82&lt;=datos!$AD$5),datos!$AC$5,IF(AND(N82&gt;datos!$AD$5,N82&lt;=datos!$AD$6),datos!$AC$6,IF(N82&gt;datos!$AD$7,datos!$AC$7,0))))))</f>
        <v>0.2</v>
      </c>
      <c r="Q82" s="215" t="str">
        <f>+HLOOKUP(A82,'Impacto Riesgo de Corrupción'!$D$8:$AY$29,22,0)</f>
        <v>Mayor</v>
      </c>
      <c r="R82" s="217">
        <f>+IF(Q82="","",VLOOKUP(Q82,datos!$AC$12:$AD$15,2,0))</f>
        <v>0.8</v>
      </c>
      <c r="S82" s="197" t="str">
        <f ca="1">_xlfn.IFERROR(INDIRECT("datos!"&amp;HLOOKUP(Q82,calculo_imp,2,FALSE)&amp;VLOOKUP(O82,calculo_prob,2,FALSE)),"")</f>
        <v>Alto</v>
      </c>
      <c r="T82" s="92">
        <v>1</v>
      </c>
      <c r="U82" s="84" t="s">
        <v>966</v>
      </c>
      <c r="V82" s="83" t="s">
        <v>967</v>
      </c>
      <c r="W82" s="83" t="s">
        <v>962</v>
      </c>
      <c r="X82" s="83" t="s">
        <v>968</v>
      </c>
      <c r="Y82" s="83" t="s">
        <v>969</v>
      </c>
      <c r="Z82" s="83" t="s">
        <v>970</v>
      </c>
      <c r="AA82" s="83" t="s">
        <v>971</v>
      </c>
      <c r="AB82" s="83" t="s">
        <v>972</v>
      </c>
      <c r="AC82" s="83" t="s">
        <v>940</v>
      </c>
      <c r="AD82" s="90" t="str">
        <f>IF(AE82="","",VLOOKUP(AE82,datos!$AT$6:$AU$9,2,0))</f>
        <v>Probabilidad</v>
      </c>
      <c r="AE82" s="84" t="s">
        <v>80</v>
      </c>
      <c r="AF82" s="84" t="s">
        <v>84</v>
      </c>
      <c r="AG82" s="85">
        <f>IF(AND(AE82="",AF82=""),"",IF(AE82="",0,VLOOKUP(AE82,datos!$AP$3:$AR$7,3,0))+IF(AF82="",0,VLOOKUP(AF82,datos!$AP$3:$AR$7,3,0)))</f>
        <v>0.4</v>
      </c>
      <c r="AH82" s="103" t="str">
        <f>IF(OR(AI82="",AI82=0),"",IF(AI82&lt;=datos!$AC$3,datos!$AE$3,IF(AI82&lt;=datos!$AC$4,datos!$AE$4,IF(AI82&lt;=datos!$AC$5,datos!$AE$5,IF(AI82&lt;=datos!$AC$6,datos!$AE$6,IF(AI82&lt;=datos!$AC$7,datos!$AE$7,""))))))</f>
        <v>Muy Baja</v>
      </c>
      <c r="AI82" s="104">
        <f>IF(AD82="","",IF(T82=1,IF(AD82="Probabilidad",P82-(P82*AG82),P82),IF(AD82="Probabilidad",#REF!-(#REF!*AG82),#REF!)))</f>
        <v>0.12</v>
      </c>
      <c r="AJ82" s="105" t="str">
        <f>+IF(AK82&lt;=datos!$AD$11,datos!$AC$11,IF(AK82&lt;=datos!$AD$12,datos!$AC$12,IF(AK82&lt;=datos!$AD$13,datos!$AC$13,IF(AK82&lt;=datos!$AD$14,datos!$AC$14,IF(AK82&lt;=datos!$AD$15,datos!$AC$15,"")))))</f>
        <v>Mayor</v>
      </c>
      <c r="AK82" s="104">
        <f>IF(AD82="","",IF(T82=1,IF(AD82="Impacto",R82-(R82*AG82),R82),IF(AD82="Impacto",#REF!-(#REF!*AG82),#REF!)))</f>
        <v>0.8</v>
      </c>
      <c r="AL82" s="105" t="str">
        <f ca="1" t="shared" si="10"/>
        <v>Alto</v>
      </c>
      <c r="AM82" s="224"/>
      <c r="AN82" s="226"/>
      <c r="AO82" s="228"/>
      <c r="AP82" s="199"/>
    </row>
    <row r="83" spans="1:42" ht="84">
      <c r="A83" s="220"/>
      <c r="B83" s="188"/>
      <c r="C83" s="188"/>
      <c r="D83" s="186"/>
      <c r="E83" s="188"/>
      <c r="F83" s="188"/>
      <c r="G83" s="188"/>
      <c r="H83" s="188"/>
      <c r="I83" s="188"/>
      <c r="J83" s="188"/>
      <c r="K83" s="190"/>
      <c r="L83" s="192"/>
      <c r="M83" s="196"/>
      <c r="N83" s="194"/>
      <c r="O83" s="222"/>
      <c r="P83" s="218"/>
      <c r="Q83" s="216"/>
      <c r="R83" s="218" t="e">
        <f>IF(OR(#REF!=datos!$AB$10,#REF!=datos!$AB$16),"",VLOOKUP(#REF!,datos!$AA$10:$AC$21,3,0))</f>
        <v>#REF!</v>
      </c>
      <c r="S83" s="198"/>
      <c r="T83" s="93">
        <v>2</v>
      </c>
      <c r="U83" s="80" t="s">
        <v>973</v>
      </c>
      <c r="V83" s="79" t="s">
        <v>967</v>
      </c>
      <c r="W83" s="79" t="s">
        <v>974</v>
      </c>
      <c r="X83" s="79" t="s">
        <v>975</v>
      </c>
      <c r="Y83" s="79" t="s">
        <v>976</v>
      </c>
      <c r="Z83" s="79" t="s">
        <v>977</v>
      </c>
      <c r="AA83" s="79" t="s">
        <v>978</v>
      </c>
      <c r="AB83" s="79" t="s">
        <v>979</v>
      </c>
      <c r="AC83" s="79" t="s">
        <v>940</v>
      </c>
      <c r="AD83" s="89" t="str">
        <f>IF(AE83="","",VLOOKUP(AE83,datos!$AT$6:$AU$9,2,0))</f>
        <v>Probabilidad</v>
      </c>
      <c r="AE83" s="80" t="s">
        <v>80</v>
      </c>
      <c r="AF83" s="80" t="s">
        <v>84</v>
      </c>
      <c r="AG83" s="86">
        <f>IF(AND(AE83="",AF83=""),"",IF(AE83="",0,VLOOKUP(AE83,datos!$AP$3:$AR$7,3,0))+IF(AF83="",0,VLOOKUP(AF83,datos!$AP$3:$AR$7,3,0)))</f>
        <v>0.4</v>
      </c>
      <c r="AH83" s="106" t="str">
        <f>IF(OR(AI83="",AI83=0),"",IF(AI83&lt;=datos!$AC$3,datos!$AE$3,IF(AI83&lt;=datos!$AC$4,datos!$AE$4,IF(AI83&lt;=datos!$AC$5,datos!$AE$5,IF(AI83&lt;=datos!$AC$6,datos!$AE$6,IF(AI83&lt;=datos!$AC$7,datos!$AE$7,""))))))</f>
        <v>Muy Baja</v>
      </c>
      <c r="AI83" s="107">
        <f>IF(AD83="","",IF(T83=1,IF(AD83="Probabilidad",P83-(P83*AG83),P83),IF(AD83="Probabilidad",AI82-(AI82*AG83),AI82)))</f>
        <v>0.072</v>
      </c>
      <c r="AJ83" s="108" t="str">
        <f>+IF(AK83&lt;=datos!$AD$11,datos!$AC$11,IF(AK83&lt;=datos!$AD$12,datos!$AC$12,IF(AK83&lt;=datos!$AD$13,datos!$AC$13,IF(AK83&lt;=datos!$AD$14,datos!$AC$14,IF(AK83&lt;=datos!$AD$15,datos!$AC$15,"")))))</f>
        <v>Mayor</v>
      </c>
      <c r="AK83" s="107">
        <f>IF(AD83="","",IF(T83=1,IF(AD83="Impacto",R83-(R83*AG83),R83),IF(AD83="Impacto",AK82-(AK82*AG83),AK82)))</f>
        <v>0.8</v>
      </c>
      <c r="AL83" s="108" t="str">
        <f ca="1" t="shared" si="10"/>
        <v>Alto</v>
      </c>
      <c r="AM83" s="225"/>
      <c r="AN83" s="227"/>
      <c r="AO83" s="229"/>
      <c r="AP83" s="200"/>
    </row>
    <row r="84" ht="15.75" customHeight="1"/>
    <row r="85" ht="15" customHeight="1"/>
    <row r="87" spans="1:5" ht="15">
      <c r="A87" s="150" t="s">
        <v>223</v>
      </c>
      <c r="B87" s="150"/>
      <c r="C87" s="150"/>
      <c r="D87" s="150"/>
      <c r="E87" s="150"/>
    </row>
    <row r="88" spans="1:5" ht="15">
      <c r="A88" s="97" t="s">
        <v>216</v>
      </c>
      <c r="B88" s="96" t="s">
        <v>217</v>
      </c>
      <c r="C88" s="150" t="s">
        <v>218</v>
      </c>
      <c r="D88" s="150"/>
      <c r="E88" s="150"/>
    </row>
    <row r="89" spans="1:5" ht="15">
      <c r="A89" s="151">
        <v>1</v>
      </c>
      <c r="B89" s="152" t="s">
        <v>980</v>
      </c>
      <c r="C89" s="153" t="s">
        <v>981</v>
      </c>
      <c r="D89" s="153"/>
      <c r="E89" s="153"/>
    </row>
    <row r="90" spans="1:5" ht="15">
      <c r="A90" s="151"/>
      <c r="B90" s="152"/>
      <c r="C90" s="153"/>
      <c r="D90" s="153"/>
      <c r="E90" s="153"/>
    </row>
    <row r="91" spans="1:5" ht="15">
      <c r="A91" s="151">
        <v>2</v>
      </c>
      <c r="B91" s="152" t="s">
        <v>982</v>
      </c>
      <c r="C91" s="153" t="s">
        <v>983</v>
      </c>
      <c r="D91" s="153"/>
      <c r="E91" s="153"/>
    </row>
    <row r="92" spans="1:5" ht="15">
      <c r="A92" s="151"/>
      <c r="B92" s="152"/>
      <c r="C92" s="153"/>
      <c r="D92" s="153"/>
      <c r="E92" s="153"/>
    </row>
    <row r="93" spans="1:5" ht="15">
      <c r="A93" s="151">
        <v>3</v>
      </c>
      <c r="B93" s="152" t="s">
        <v>984</v>
      </c>
      <c r="C93" s="153" t="s">
        <v>985</v>
      </c>
      <c r="D93" s="153"/>
      <c r="E93" s="153"/>
    </row>
    <row r="94" spans="1:5" ht="15">
      <c r="A94" s="151"/>
      <c r="B94" s="152"/>
      <c r="C94" s="153"/>
      <c r="D94" s="153"/>
      <c r="E94" s="153"/>
    </row>
  </sheetData>
  <sheetProtection formatCells="0" formatColumns="0" formatRows="0" insertColumns="0" insertRows="0" insertHyperlinks="0" deleteColumns="0" deleteRows="0" sort="0" autoFilter="0" pivotTables="0"/>
  <mergeCells count="471">
    <mergeCell ref="O82:O83"/>
    <mergeCell ref="P82:P83"/>
    <mergeCell ref="Q82:Q83"/>
    <mergeCell ref="R82:R83"/>
    <mergeCell ref="S82:S83"/>
    <mergeCell ref="J78:J81"/>
    <mergeCell ref="K78:K81"/>
    <mergeCell ref="L78:L81"/>
    <mergeCell ref="M78:M81"/>
    <mergeCell ref="I82:I83"/>
    <mergeCell ref="J82:J83"/>
    <mergeCell ref="K82:K83"/>
    <mergeCell ref="L82:L83"/>
    <mergeCell ref="M82:M83"/>
    <mergeCell ref="N82:N83"/>
    <mergeCell ref="AO78:AO81"/>
    <mergeCell ref="AP78:AP81"/>
    <mergeCell ref="A82:A83"/>
    <mergeCell ref="B82:B83"/>
    <mergeCell ref="C82:C83"/>
    <mergeCell ref="D82:D83"/>
    <mergeCell ref="E82:E83"/>
    <mergeCell ref="F82:F83"/>
    <mergeCell ref="G82:G83"/>
    <mergeCell ref="H82:H83"/>
    <mergeCell ref="G78:G81"/>
    <mergeCell ref="H78:H81"/>
    <mergeCell ref="I78:I81"/>
    <mergeCell ref="AP74:AP76"/>
    <mergeCell ref="AM82:AM83"/>
    <mergeCell ref="AN82:AN83"/>
    <mergeCell ref="AO82:AO83"/>
    <mergeCell ref="AP82:AP83"/>
    <mergeCell ref="S78:S81"/>
    <mergeCell ref="AM78:AM81"/>
    <mergeCell ref="A78:A81"/>
    <mergeCell ref="B78:B81"/>
    <mergeCell ref="C78:C81"/>
    <mergeCell ref="D78:D81"/>
    <mergeCell ref="E78:E81"/>
    <mergeCell ref="F78:F81"/>
    <mergeCell ref="S74:S76"/>
    <mergeCell ref="AM74:AM76"/>
    <mergeCell ref="AN74:AN76"/>
    <mergeCell ref="AO74:AO76"/>
    <mergeCell ref="N78:N81"/>
    <mergeCell ref="O78:O81"/>
    <mergeCell ref="P78:P81"/>
    <mergeCell ref="Q78:Q81"/>
    <mergeCell ref="R78:R81"/>
    <mergeCell ref="AN78:AN81"/>
    <mergeCell ref="M74:M76"/>
    <mergeCell ref="N74:N76"/>
    <mergeCell ref="O74:O76"/>
    <mergeCell ref="P74:P76"/>
    <mergeCell ref="Q74:Q76"/>
    <mergeCell ref="R74:R76"/>
    <mergeCell ref="G74:G76"/>
    <mergeCell ref="H74:H76"/>
    <mergeCell ref="I74:I76"/>
    <mergeCell ref="J74:J76"/>
    <mergeCell ref="K74:K76"/>
    <mergeCell ref="L74:L76"/>
    <mergeCell ref="A74:A76"/>
    <mergeCell ref="B74:B76"/>
    <mergeCell ref="C74:C76"/>
    <mergeCell ref="D74:D76"/>
    <mergeCell ref="E74:E76"/>
    <mergeCell ref="F74:F76"/>
    <mergeCell ref="R71:R73"/>
    <mergeCell ref="S71:S73"/>
    <mergeCell ref="AM71:AM73"/>
    <mergeCell ref="AN71:AN73"/>
    <mergeCell ref="AO71:AO73"/>
    <mergeCell ref="AP71:AP73"/>
    <mergeCell ref="L71:L73"/>
    <mergeCell ref="M71:M73"/>
    <mergeCell ref="N71:N73"/>
    <mergeCell ref="O71:O73"/>
    <mergeCell ref="P71:P73"/>
    <mergeCell ref="Q71:Q73"/>
    <mergeCell ref="F71:F73"/>
    <mergeCell ref="G71:G73"/>
    <mergeCell ref="H71:H73"/>
    <mergeCell ref="I71:I73"/>
    <mergeCell ref="J71:J73"/>
    <mergeCell ref="K71:K73"/>
    <mergeCell ref="AN64:AN65"/>
    <mergeCell ref="AO64:AO65"/>
    <mergeCell ref="AP64:AP65"/>
    <mergeCell ref="A64:A65"/>
    <mergeCell ref="B64:B65"/>
    <mergeCell ref="A71:A73"/>
    <mergeCell ref="B71:B73"/>
    <mergeCell ref="C71:C73"/>
    <mergeCell ref="D71:D73"/>
    <mergeCell ref="E71:E73"/>
    <mergeCell ref="O64:O65"/>
    <mergeCell ref="P64:P65"/>
    <mergeCell ref="Q64:Q65"/>
    <mergeCell ref="R64:R65"/>
    <mergeCell ref="S64:S65"/>
    <mergeCell ref="AM64:AM65"/>
    <mergeCell ref="I64:I65"/>
    <mergeCell ref="J64:J65"/>
    <mergeCell ref="K64:K65"/>
    <mergeCell ref="L64:L65"/>
    <mergeCell ref="M64:M65"/>
    <mergeCell ref="N64:N65"/>
    <mergeCell ref="C64:C65"/>
    <mergeCell ref="D64:D65"/>
    <mergeCell ref="E64:E65"/>
    <mergeCell ref="F64:F65"/>
    <mergeCell ref="G64:G65"/>
    <mergeCell ref="H64:H65"/>
    <mergeCell ref="AO57:AO61"/>
    <mergeCell ref="AP57:AP61"/>
    <mergeCell ref="J57:J61"/>
    <mergeCell ref="K57:K61"/>
    <mergeCell ref="L57:L61"/>
    <mergeCell ref="M57:M61"/>
    <mergeCell ref="N57:N61"/>
    <mergeCell ref="O57:O61"/>
    <mergeCell ref="P57:P61"/>
    <mergeCell ref="Q57:Q61"/>
    <mergeCell ref="S52:S56"/>
    <mergeCell ref="AM52:AM56"/>
    <mergeCell ref="AN52:AN56"/>
    <mergeCell ref="S57:S61"/>
    <mergeCell ref="AM57:AM61"/>
    <mergeCell ref="AN57:AN61"/>
    <mergeCell ref="M52:M56"/>
    <mergeCell ref="N52:N56"/>
    <mergeCell ref="O52:O56"/>
    <mergeCell ref="P52:P56"/>
    <mergeCell ref="Q52:Q56"/>
    <mergeCell ref="R52:R56"/>
    <mergeCell ref="G52:G56"/>
    <mergeCell ref="H52:H56"/>
    <mergeCell ref="I52:I56"/>
    <mergeCell ref="J52:J56"/>
    <mergeCell ref="K52:K56"/>
    <mergeCell ref="L52:L56"/>
    <mergeCell ref="A52:A56"/>
    <mergeCell ref="B52:B56"/>
    <mergeCell ref="C52:C56"/>
    <mergeCell ref="D52:D56"/>
    <mergeCell ref="E52:E56"/>
    <mergeCell ref="F52:F56"/>
    <mergeCell ref="R57:R61"/>
    <mergeCell ref="A57:A61"/>
    <mergeCell ref="B57:B61"/>
    <mergeCell ref="C57:C61"/>
    <mergeCell ref="D57:D61"/>
    <mergeCell ref="E57:E61"/>
    <mergeCell ref="F57:F61"/>
    <mergeCell ref="G57:G61"/>
    <mergeCell ref="H57:H61"/>
    <mergeCell ref="I57:I61"/>
    <mergeCell ref="S50:S51"/>
    <mergeCell ref="AM50:AM51"/>
    <mergeCell ref="AN50:AN51"/>
    <mergeCell ref="AO50:AO51"/>
    <mergeCell ref="A48:A49"/>
    <mergeCell ref="B48:B49"/>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M48:AM49"/>
    <mergeCell ref="AN48:AN49"/>
    <mergeCell ref="AO52:AO56"/>
    <mergeCell ref="AP52:AP56"/>
    <mergeCell ref="AO48:AO49"/>
    <mergeCell ref="AP48:AP49"/>
    <mergeCell ref="AP50:AP51"/>
    <mergeCell ref="N48:N49"/>
    <mergeCell ref="O48:O49"/>
    <mergeCell ref="P48:P49"/>
    <mergeCell ref="Q48:Q49"/>
    <mergeCell ref="R48:R49"/>
    <mergeCell ref="S48:S49"/>
    <mergeCell ref="H48:H49"/>
    <mergeCell ref="I48:I49"/>
    <mergeCell ref="J48:J49"/>
    <mergeCell ref="K48:K49"/>
    <mergeCell ref="L48:L49"/>
    <mergeCell ref="M48:M49"/>
    <mergeCell ref="S46:S47"/>
    <mergeCell ref="AM46:AM47"/>
    <mergeCell ref="AN46:AN47"/>
    <mergeCell ref="AO46:AO47"/>
    <mergeCell ref="AP46:AP47"/>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AM39:AM40"/>
    <mergeCell ref="AN39:AN40"/>
    <mergeCell ref="AO39:AO40"/>
    <mergeCell ref="AP39:AP40"/>
    <mergeCell ref="A46:A47"/>
    <mergeCell ref="B46:B47"/>
    <mergeCell ref="C46:C47"/>
    <mergeCell ref="D46:D47"/>
    <mergeCell ref="E46:E47"/>
    <mergeCell ref="F46:F47"/>
    <mergeCell ref="N39:N40"/>
    <mergeCell ref="O39:O40"/>
    <mergeCell ref="P39:P40"/>
    <mergeCell ref="Q39:Q40"/>
    <mergeCell ref="R39:R40"/>
    <mergeCell ref="S39:S40"/>
    <mergeCell ref="H39:H40"/>
    <mergeCell ref="I39:I40"/>
    <mergeCell ref="J39:J40"/>
    <mergeCell ref="K39:K40"/>
    <mergeCell ref="L39:L40"/>
    <mergeCell ref="M39:M40"/>
    <mergeCell ref="S35:S36"/>
    <mergeCell ref="AM35:AM36"/>
    <mergeCell ref="AN35:AN36"/>
    <mergeCell ref="A39:A40"/>
    <mergeCell ref="B39:B40"/>
    <mergeCell ref="C39:C40"/>
    <mergeCell ref="D39:D40"/>
    <mergeCell ref="E39:E40"/>
    <mergeCell ref="F39:F40"/>
    <mergeCell ref="G39:G40"/>
    <mergeCell ref="M35:M36"/>
    <mergeCell ref="N35:N36"/>
    <mergeCell ref="O35:O36"/>
    <mergeCell ref="P35:P36"/>
    <mergeCell ref="Q35:Q36"/>
    <mergeCell ref="R35:R36"/>
    <mergeCell ref="G35:G36"/>
    <mergeCell ref="H35:H36"/>
    <mergeCell ref="I35:I36"/>
    <mergeCell ref="J35:J36"/>
    <mergeCell ref="K35:K36"/>
    <mergeCell ref="L35:L36"/>
    <mergeCell ref="A35:A36"/>
    <mergeCell ref="B35:B36"/>
    <mergeCell ref="C35:C36"/>
    <mergeCell ref="D35:D36"/>
    <mergeCell ref="E35:E36"/>
    <mergeCell ref="F35:F36"/>
    <mergeCell ref="R32:R34"/>
    <mergeCell ref="S32:S34"/>
    <mergeCell ref="AM32:AM34"/>
    <mergeCell ref="AN32:AN34"/>
    <mergeCell ref="AO32:AO34"/>
    <mergeCell ref="AP32:AP34"/>
    <mergeCell ref="L32:L34"/>
    <mergeCell ref="M32:M34"/>
    <mergeCell ref="N32:N34"/>
    <mergeCell ref="O32:O34"/>
    <mergeCell ref="P32:P34"/>
    <mergeCell ref="Q32:Q34"/>
    <mergeCell ref="F32:F34"/>
    <mergeCell ref="G32:G34"/>
    <mergeCell ref="H32:H34"/>
    <mergeCell ref="I32:I34"/>
    <mergeCell ref="J32:J34"/>
    <mergeCell ref="K32:K34"/>
    <mergeCell ref="O27:O28"/>
    <mergeCell ref="P27:P28"/>
    <mergeCell ref="Q27:Q28"/>
    <mergeCell ref="AO35:AO36"/>
    <mergeCell ref="AP35:AP36"/>
    <mergeCell ref="A32:A34"/>
    <mergeCell ref="B32:B34"/>
    <mergeCell ref="C32:C34"/>
    <mergeCell ref="D32:D34"/>
    <mergeCell ref="E32:E34"/>
    <mergeCell ref="S27:S28"/>
    <mergeCell ref="AM27:AM28"/>
    <mergeCell ref="AN27:AN28"/>
    <mergeCell ref="AO27:AO28"/>
    <mergeCell ref="AP27:AP28"/>
    <mergeCell ref="J27:J28"/>
    <mergeCell ref="K27:K28"/>
    <mergeCell ref="L27:L28"/>
    <mergeCell ref="M27:M28"/>
    <mergeCell ref="N27:N28"/>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R27:R28"/>
    <mergeCell ref="A27:A28"/>
    <mergeCell ref="B27:B28"/>
    <mergeCell ref="C27:C28"/>
    <mergeCell ref="D27:D28"/>
    <mergeCell ref="E27:E28"/>
    <mergeCell ref="F27:F28"/>
    <mergeCell ref="G27:G28"/>
    <mergeCell ref="H27:H28"/>
    <mergeCell ref="I27:I28"/>
    <mergeCell ref="S21:S22"/>
    <mergeCell ref="AM21:AM22"/>
    <mergeCell ref="AN21:AN22"/>
    <mergeCell ref="AO21:AO22"/>
    <mergeCell ref="AP21:AP22"/>
    <mergeCell ref="AO25:AO26"/>
    <mergeCell ref="AP25:AP26"/>
    <mergeCell ref="S25:S26"/>
    <mergeCell ref="AM25:AM26"/>
    <mergeCell ref="AN25:AN26"/>
    <mergeCell ref="M21:M22"/>
    <mergeCell ref="N21:N22"/>
    <mergeCell ref="O21:O22"/>
    <mergeCell ref="P21:P22"/>
    <mergeCell ref="Q21:Q22"/>
    <mergeCell ref="R21:R22"/>
    <mergeCell ref="G21:G22"/>
    <mergeCell ref="H21:H22"/>
    <mergeCell ref="I21:I22"/>
    <mergeCell ref="J21:J22"/>
    <mergeCell ref="K21:K22"/>
    <mergeCell ref="L21:L22"/>
    <mergeCell ref="A21:A22"/>
    <mergeCell ref="B21:B22"/>
    <mergeCell ref="C21:C22"/>
    <mergeCell ref="D21:D22"/>
    <mergeCell ref="E21:E22"/>
    <mergeCell ref="F21:F22"/>
    <mergeCell ref="AP17:AP19"/>
    <mergeCell ref="J17:J19"/>
    <mergeCell ref="K17:K19"/>
    <mergeCell ref="L17:L19"/>
    <mergeCell ref="M17:M19"/>
    <mergeCell ref="N17:N19"/>
    <mergeCell ref="O17:O19"/>
    <mergeCell ref="P17:P19"/>
    <mergeCell ref="Q17:Q19"/>
    <mergeCell ref="AN12:AN14"/>
    <mergeCell ref="AO12:AO14"/>
    <mergeCell ref="A7:M7"/>
    <mergeCell ref="S17:S19"/>
    <mergeCell ref="AM17:AM19"/>
    <mergeCell ref="AN17:AN19"/>
    <mergeCell ref="AO17:AO19"/>
    <mergeCell ref="R17:R19"/>
    <mergeCell ref="A17:A19"/>
    <mergeCell ref="B17:B19"/>
    <mergeCell ref="C17:C19"/>
    <mergeCell ref="D17:D19"/>
    <mergeCell ref="E17:E19"/>
    <mergeCell ref="F17:F19"/>
    <mergeCell ref="G17:G19"/>
    <mergeCell ref="H17:H19"/>
    <mergeCell ref="I17:I19"/>
    <mergeCell ref="O12:O14"/>
    <mergeCell ref="P12:P14"/>
    <mergeCell ref="C3:K3"/>
    <mergeCell ref="AG3:AL3"/>
    <mergeCell ref="L3:AF3"/>
    <mergeCell ref="AM12:AM14"/>
    <mergeCell ref="Q12:Q14"/>
    <mergeCell ref="R12:R14"/>
    <mergeCell ref="A8:A9"/>
    <mergeCell ref="B8:B9"/>
    <mergeCell ref="C8:C9"/>
    <mergeCell ref="D8:D9"/>
    <mergeCell ref="E8:E9"/>
    <mergeCell ref="A12:A14"/>
    <mergeCell ref="B12:B14"/>
    <mergeCell ref="C12:C14"/>
    <mergeCell ref="S12:S14"/>
    <mergeCell ref="AP12:AP14"/>
    <mergeCell ref="C1:AO1"/>
    <mergeCell ref="C2:AO2"/>
    <mergeCell ref="A4:AP4"/>
    <mergeCell ref="AM3:AO3"/>
    <mergeCell ref="AP1:AP3"/>
    <mergeCell ref="A1:B3"/>
    <mergeCell ref="H12:H14"/>
    <mergeCell ref="I12:I14"/>
    <mergeCell ref="G12:G14"/>
    <mergeCell ref="J12:J14"/>
    <mergeCell ref="K12:K14"/>
    <mergeCell ref="L12:L14"/>
    <mergeCell ref="N12:N14"/>
    <mergeCell ref="M12:M14"/>
    <mergeCell ref="AN7:AP7"/>
    <mergeCell ref="AO8:AO9"/>
    <mergeCell ref="AP8:AP9"/>
    <mergeCell ref="AN8:AN9"/>
    <mergeCell ref="N7:S7"/>
    <mergeCell ref="T7:AG7"/>
    <mergeCell ref="AH7:AM7"/>
    <mergeCell ref="S8:S9"/>
    <mergeCell ref="V8:AB8"/>
    <mergeCell ref="AC8:AC9"/>
    <mergeCell ref="K8:K9"/>
    <mergeCell ref="P8:P9"/>
    <mergeCell ref="O8:O9"/>
    <mergeCell ref="Q8:Q9"/>
    <mergeCell ref="R8:R9"/>
    <mergeCell ref="N8:N9"/>
    <mergeCell ref="M8:M9"/>
    <mergeCell ref="L8:L9"/>
    <mergeCell ref="AJ8:AJ9"/>
    <mergeCell ref="AK8:AK9"/>
    <mergeCell ref="AL8:AL9"/>
    <mergeCell ref="AM8:AM9"/>
    <mergeCell ref="T8:T9"/>
    <mergeCell ref="AD8:AD9"/>
    <mergeCell ref="AE8:AG8"/>
    <mergeCell ref="AH8:AH9"/>
    <mergeCell ref="AI8:AI9"/>
    <mergeCell ref="A93:A94"/>
    <mergeCell ref="B93:B94"/>
    <mergeCell ref="C93:E94"/>
    <mergeCell ref="F8:F9"/>
    <mergeCell ref="G8:G9"/>
    <mergeCell ref="J8:J9"/>
    <mergeCell ref="H8:I8"/>
    <mergeCell ref="D12:D14"/>
    <mergeCell ref="E12:E14"/>
    <mergeCell ref="F12:F14"/>
    <mergeCell ref="A87:E87"/>
    <mergeCell ref="C88:E88"/>
    <mergeCell ref="A89:A90"/>
    <mergeCell ref="B89:B90"/>
    <mergeCell ref="C89:E90"/>
    <mergeCell ref="A91:A92"/>
    <mergeCell ref="B91:B92"/>
    <mergeCell ref="C91:E92"/>
  </mergeCells>
  <printOptions/>
  <pageMargins left="0.7" right="0.7" top="0.75" bottom="0.75" header="0.3" footer="0.3"/>
  <pageSetup orientation="portrait" r:id="rId2"/>
  <ignoredErrors>
    <ignoredError sqref="AD10 AD11 AD12:AD14 AD15 AD16" unlockedFormula="1"/>
  </ignoredErrors>
  <drawing r:id="rId1"/>
</worksheet>
</file>

<file path=xl/worksheets/sheet2.xml><?xml version="1.0" encoding="utf-8"?>
<worksheet xmlns="http://schemas.openxmlformats.org/spreadsheetml/2006/main" xmlns:r="http://schemas.openxmlformats.org/officeDocument/2006/relationships">
  <dimension ref="A1:AY41"/>
  <sheetViews>
    <sheetView zoomScale="70" zoomScaleNormal="70" zoomScalePageLayoutView="0" workbookViewId="0" topLeftCell="U1">
      <selection activeCell="AU10" sqref="AU10"/>
    </sheetView>
  </sheetViews>
  <sheetFormatPr defaultColWidth="11.421875" defaultRowHeight="15"/>
  <cols>
    <col min="1" max="1" width="9.140625" style="91" customWidth="1"/>
    <col min="2" max="2" width="13.00390625" style="91" customWidth="1"/>
    <col min="3" max="3" width="81.28125" style="91" customWidth="1"/>
    <col min="4" max="4" width="11.7109375" style="91" customWidth="1"/>
    <col min="5" max="7" width="11.421875" style="91" customWidth="1"/>
    <col min="8" max="8" width="13.140625" style="91" customWidth="1"/>
    <col min="9" max="16384" width="11.421875" style="91" customWidth="1"/>
  </cols>
  <sheetData>
    <row r="1" spans="1:51" ht="75.75" customHeight="1">
      <c r="A1" s="243"/>
      <c r="B1" s="243"/>
      <c r="C1" s="248" t="s">
        <v>252</v>
      </c>
      <c r="D1" s="248"/>
      <c r="E1" s="248"/>
      <c r="F1" s="248"/>
      <c r="G1" s="248"/>
      <c r="H1" s="248"/>
      <c r="I1" s="248"/>
      <c r="J1" s="248"/>
      <c r="K1" s="248"/>
      <c r="L1" s="248"/>
      <c r="M1" s="248"/>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row>
    <row r="2" spans="1:51" ht="15">
      <c r="A2" s="243"/>
      <c r="B2" s="243"/>
      <c r="C2" s="249" t="s">
        <v>253</v>
      </c>
      <c r="D2" s="249"/>
      <c r="E2" s="249"/>
      <c r="F2" s="249"/>
      <c r="G2" s="249"/>
      <c r="H2" s="249"/>
      <c r="I2" s="249"/>
      <c r="J2" s="249"/>
      <c r="K2" s="249"/>
      <c r="L2" s="249"/>
      <c r="M2" s="249"/>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row>
    <row r="3" spans="1:51" ht="15">
      <c r="A3" s="243"/>
      <c r="B3" s="243"/>
      <c r="C3" s="94" t="s">
        <v>257</v>
      </c>
      <c r="D3" s="249" t="s">
        <v>254</v>
      </c>
      <c r="E3" s="249"/>
      <c r="F3" s="249"/>
      <c r="G3" s="249" t="s">
        <v>255</v>
      </c>
      <c r="H3" s="249"/>
      <c r="I3" s="249"/>
      <c r="J3" s="249"/>
      <c r="K3" s="249">
        <v>4</v>
      </c>
      <c r="L3" s="249"/>
      <c r="M3" s="249"/>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row>
    <row r="4" spans="1:51" ht="15">
      <c r="A4" s="244" t="s">
        <v>251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row>
    <row r="5" ht="15.75" thickBot="1"/>
    <row r="6" spans="3:51" ht="28.5" customHeight="1" thickBot="1">
      <c r="C6" s="245" t="s">
        <v>178</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7"/>
    </row>
    <row r="7" spans="3:51" ht="18.75" customHeight="1" thickBot="1">
      <c r="C7" s="116" t="s">
        <v>100</v>
      </c>
      <c r="D7" s="260" t="s">
        <v>230</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2"/>
    </row>
    <row r="8" spans="3:51" ht="43.5" customHeight="1" thickBot="1">
      <c r="C8" s="117" t="s">
        <v>234</v>
      </c>
      <c r="D8" s="118">
        <v>1</v>
      </c>
      <c r="E8" s="118">
        <v>2</v>
      </c>
      <c r="F8" s="118">
        <v>3</v>
      </c>
      <c r="G8" s="118">
        <v>4</v>
      </c>
      <c r="H8" s="118">
        <v>5</v>
      </c>
      <c r="I8" s="118">
        <v>6</v>
      </c>
      <c r="J8" s="118">
        <v>7</v>
      </c>
      <c r="K8" s="118">
        <v>8</v>
      </c>
      <c r="L8" s="118">
        <v>9</v>
      </c>
      <c r="M8" s="118">
        <v>10</v>
      </c>
      <c r="N8" s="118">
        <v>11</v>
      </c>
      <c r="O8" s="118">
        <v>12</v>
      </c>
      <c r="P8" s="118">
        <v>13</v>
      </c>
      <c r="Q8" s="118">
        <v>14</v>
      </c>
      <c r="R8" s="118">
        <v>15</v>
      </c>
      <c r="S8" s="118">
        <v>16</v>
      </c>
      <c r="T8" s="118">
        <v>17</v>
      </c>
      <c r="U8" s="118">
        <v>18</v>
      </c>
      <c r="V8" s="118">
        <v>19</v>
      </c>
      <c r="W8" s="118">
        <v>20</v>
      </c>
      <c r="X8" s="118">
        <v>21</v>
      </c>
      <c r="Y8" s="118">
        <v>22</v>
      </c>
      <c r="Z8" s="118">
        <v>23</v>
      </c>
      <c r="AA8" s="118">
        <v>24</v>
      </c>
      <c r="AB8" s="118">
        <v>25</v>
      </c>
      <c r="AC8" s="118">
        <v>26</v>
      </c>
      <c r="AD8" s="118">
        <v>27</v>
      </c>
      <c r="AE8" s="118">
        <v>28</v>
      </c>
      <c r="AF8" s="118">
        <v>29</v>
      </c>
      <c r="AG8" s="118">
        <v>30</v>
      </c>
      <c r="AH8" s="118">
        <v>31</v>
      </c>
      <c r="AI8" s="118">
        <v>32</v>
      </c>
      <c r="AJ8" s="118">
        <v>33</v>
      </c>
      <c r="AK8" s="118">
        <v>34</v>
      </c>
      <c r="AL8" s="118">
        <v>35</v>
      </c>
      <c r="AM8" s="118">
        <v>36</v>
      </c>
      <c r="AN8" s="118">
        <v>37</v>
      </c>
      <c r="AO8" s="118">
        <v>38</v>
      </c>
      <c r="AP8" s="118">
        <v>39</v>
      </c>
      <c r="AQ8" s="118">
        <v>40</v>
      </c>
      <c r="AR8" s="118">
        <v>41</v>
      </c>
      <c r="AS8" s="118">
        <v>42</v>
      </c>
      <c r="AT8" s="118">
        <v>43</v>
      </c>
      <c r="AU8" s="118">
        <v>44</v>
      </c>
      <c r="AV8" s="118">
        <v>45</v>
      </c>
      <c r="AW8" s="118">
        <v>46</v>
      </c>
      <c r="AX8" s="118">
        <v>47</v>
      </c>
      <c r="AY8" s="118">
        <v>48</v>
      </c>
    </row>
    <row r="9" spans="2:51" ht="16.5" thickBot="1">
      <c r="B9" s="113" t="s">
        <v>147</v>
      </c>
      <c r="C9" s="119" t="s">
        <v>148</v>
      </c>
      <c r="D9" s="120" t="s">
        <v>149</v>
      </c>
      <c r="E9" s="120" t="s">
        <v>149</v>
      </c>
      <c r="F9" s="120" t="s">
        <v>149</v>
      </c>
      <c r="G9" s="120" t="s">
        <v>149</v>
      </c>
      <c r="H9" s="120" t="s">
        <v>149</v>
      </c>
      <c r="I9" s="120" t="s">
        <v>149</v>
      </c>
      <c r="J9" s="120" t="s">
        <v>149</v>
      </c>
      <c r="K9" s="120" t="s">
        <v>149</v>
      </c>
      <c r="L9" s="120" t="s">
        <v>149</v>
      </c>
      <c r="M9" s="120" t="s">
        <v>149</v>
      </c>
      <c r="N9" s="120" t="s">
        <v>149</v>
      </c>
      <c r="O9" s="120" t="s">
        <v>149</v>
      </c>
      <c r="P9" s="120" t="s">
        <v>149</v>
      </c>
      <c r="Q9" s="120" t="s">
        <v>149</v>
      </c>
      <c r="R9" s="120" t="s">
        <v>149</v>
      </c>
      <c r="S9" s="120" t="s">
        <v>149</v>
      </c>
      <c r="T9" s="120" t="s">
        <v>149</v>
      </c>
      <c r="U9" s="120" t="s">
        <v>149</v>
      </c>
      <c r="V9" s="120" t="s">
        <v>149</v>
      </c>
      <c r="W9" s="120" t="s">
        <v>149</v>
      </c>
      <c r="X9" s="120" t="s">
        <v>149</v>
      </c>
      <c r="Y9" s="120" t="s">
        <v>149</v>
      </c>
      <c r="Z9" s="120" t="s">
        <v>149</v>
      </c>
      <c r="AA9" s="120" t="s">
        <v>149</v>
      </c>
      <c r="AB9" s="120" t="s">
        <v>149</v>
      </c>
      <c r="AC9" s="120" t="s">
        <v>149</v>
      </c>
      <c r="AD9" s="120" t="s">
        <v>149</v>
      </c>
      <c r="AE9" s="120" t="s">
        <v>149</v>
      </c>
      <c r="AF9" s="120" t="s">
        <v>149</v>
      </c>
      <c r="AG9" s="120" t="s">
        <v>149</v>
      </c>
      <c r="AH9" s="120" t="s">
        <v>149</v>
      </c>
      <c r="AI9" s="120" t="s">
        <v>149</v>
      </c>
      <c r="AJ9" s="120" t="s">
        <v>149</v>
      </c>
      <c r="AK9" s="120" t="s">
        <v>149</v>
      </c>
      <c r="AL9" s="120" t="s">
        <v>149</v>
      </c>
      <c r="AM9" s="120" t="s">
        <v>149</v>
      </c>
      <c r="AN9" s="120" t="s">
        <v>149</v>
      </c>
      <c r="AO9" s="120" t="s">
        <v>149</v>
      </c>
      <c r="AP9" s="120" t="s">
        <v>149</v>
      </c>
      <c r="AQ9" s="120" t="s">
        <v>149</v>
      </c>
      <c r="AR9" s="120" t="s">
        <v>149</v>
      </c>
      <c r="AS9" s="120" t="s">
        <v>149</v>
      </c>
      <c r="AT9" s="120" t="s">
        <v>149</v>
      </c>
      <c r="AU9" s="120" t="s">
        <v>149</v>
      </c>
      <c r="AV9" s="120" t="s">
        <v>149</v>
      </c>
      <c r="AW9" s="120" t="s">
        <v>149</v>
      </c>
      <c r="AX9" s="120" t="s">
        <v>149</v>
      </c>
      <c r="AY9" s="120" t="s">
        <v>149</v>
      </c>
    </row>
    <row r="10" spans="2:51" ht="15.75">
      <c r="B10" s="121">
        <v>1</v>
      </c>
      <c r="C10" s="122" t="s">
        <v>150</v>
      </c>
      <c r="D10" s="114" t="s">
        <v>232</v>
      </c>
      <c r="E10" s="114" t="s">
        <v>232</v>
      </c>
      <c r="F10" s="114" t="s">
        <v>232</v>
      </c>
      <c r="G10" s="114" t="s">
        <v>232</v>
      </c>
      <c r="H10" s="114" t="s">
        <v>232</v>
      </c>
      <c r="I10" s="114" t="s">
        <v>232</v>
      </c>
      <c r="J10" s="114" t="s">
        <v>232</v>
      </c>
      <c r="K10" s="114" t="s">
        <v>232</v>
      </c>
      <c r="L10" s="114" t="s">
        <v>232</v>
      </c>
      <c r="M10" s="114" t="s">
        <v>232</v>
      </c>
      <c r="N10" s="114" t="s">
        <v>232</v>
      </c>
      <c r="O10" s="114" t="s">
        <v>232</v>
      </c>
      <c r="P10" s="114" t="s">
        <v>232</v>
      </c>
      <c r="Q10" s="114" t="s">
        <v>232</v>
      </c>
      <c r="R10" s="114" t="s">
        <v>232</v>
      </c>
      <c r="S10" s="114" t="s">
        <v>232</v>
      </c>
      <c r="T10" s="114" t="s">
        <v>232</v>
      </c>
      <c r="U10" s="114" t="s">
        <v>232</v>
      </c>
      <c r="V10" s="114" t="s">
        <v>232</v>
      </c>
      <c r="W10" s="114" t="s">
        <v>232</v>
      </c>
      <c r="X10" s="114" t="s">
        <v>232</v>
      </c>
      <c r="Y10" s="114" t="s">
        <v>232</v>
      </c>
      <c r="Z10" s="114" t="s">
        <v>232</v>
      </c>
      <c r="AA10" s="114" t="s">
        <v>232</v>
      </c>
      <c r="AB10" s="114" t="s">
        <v>232</v>
      </c>
      <c r="AC10" s="114" t="s">
        <v>232</v>
      </c>
      <c r="AD10" s="114" t="s">
        <v>232</v>
      </c>
      <c r="AE10" s="114" t="s">
        <v>232</v>
      </c>
      <c r="AF10" s="114" t="s">
        <v>232</v>
      </c>
      <c r="AG10" s="114" t="s">
        <v>232</v>
      </c>
      <c r="AH10" s="114" t="s">
        <v>232</v>
      </c>
      <c r="AI10" s="114" t="s">
        <v>232</v>
      </c>
      <c r="AJ10" s="114" t="s">
        <v>232</v>
      </c>
      <c r="AK10" s="114" t="s">
        <v>232</v>
      </c>
      <c r="AL10" s="114" t="s">
        <v>232</v>
      </c>
      <c r="AM10" s="114" t="s">
        <v>232</v>
      </c>
      <c r="AN10" s="114" t="s">
        <v>232</v>
      </c>
      <c r="AO10" s="114" t="s">
        <v>232</v>
      </c>
      <c r="AP10" s="114" t="s">
        <v>233</v>
      </c>
      <c r="AQ10" s="114" t="s">
        <v>232</v>
      </c>
      <c r="AR10" s="114" t="s">
        <v>233</v>
      </c>
      <c r="AS10" s="114" t="s">
        <v>232</v>
      </c>
      <c r="AT10" s="114" t="s">
        <v>233</v>
      </c>
      <c r="AU10" s="114"/>
      <c r="AV10" s="114"/>
      <c r="AW10" s="114"/>
      <c r="AX10" s="114"/>
      <c r="AY10" s="114"/>
    </row>
    <row r="11" spans="2:51" ht="15.75">
      <c r="B11" s="123">
        <v>2</v>
      </c>
      <c r="C11" s="124" t="s">
        <v>151</v>
      </c>
      <c r="D11" s="114" t="s">
        <v>233</v>
      </c>
      <c r="E11" s="114" t="s">
        <v>232</v>
      </c>
      <c r="F11" s="114" t="s">
        <v>232</v>
      </c>
      <c r="G11" s="114" t="s">
        <v>233</v>
      </c>
      <c r="H11" s="114" t="s">
        <v>233</v>
      </c>
      <c r="I11" s="114" t="s">
        <v>233</v>
      </c>
      <c r="J11" s="114" t="s">
        <v>232</v>
      </c>
      <c r="K11" s="114" t="s">
        <v>232</v>
      </c>
      <c r="L11" s="114" t="s">
        <v>232</v>
      </c>
      <c r="M11" s="114" t="s">
        <v>232</v>
      </c>
      <c r="N11" s="114" t="s">
        <v>232</v>
      </c>
      <c r="O11" s="114" t="s">
        <v>232</v>
      </c>
      <c r="P11" s="114" t="s">
        <v>232</v>
      </c>
      <c r="Q11" s="114" t="s">
        <v>232</v>
      </c>
      <c r="R11" s="114" t="s">
        <v>232</v>
      </c>
      <c r="S11" s="114" t="s">
        <v>232</v>
      </c>
      <c r="T11" s="114" t="s">
        <v>232</v>
      </c>
      <c r="U11" s="114" t="s">
        <v>232</v>
      </c>
      <c r="V11" s="114" t="s">
        <v>232</v>
      </c>
      <c r="W11" s="114" t="s">
        <v>233</v>
      </c>
      <c r="X11" s="114" t="s">
        <v>232</v>
      </c>
      <c r="Y11" s="114" t="s">
        <v>232</v>
      </c>
      <c r="Z11" s="114" t="s">
        <v>232</v>
      </c>
      <c r="AA11" s="114" t="s">
        <v>232</v>
      </c>
      <c r="AB11" s="114" t="s">
        <v>232</v>
      </c>
      <c r="AC11" s="114" t="s">
        <v>232</v>
      </c>
      <c r="AD11" s="114" t="s">
        <v>232</v>
      </c>
      <c r="AE11" s="114" t="s">
        <v>233</v>
      </c>
      <c r="AF11" s="114" t="s">
        <v>233</v>
      </c>
      <c r="AG11" s="114" t="s">
        <v>233</v>
      </c>
      <c r="AH11" s="114" t="s">
        <v>232</v>
      </c>
      <c r="AI11" s="114" t="s">
        <v>232</v>
      </c>
      <c r="AJ11" s="114" t="s">
        <v>232</v>
      </c>
      <c r="AK11" s="114" t="s">
        <v>232</v>
      </c>
      <c r="AL11" s="114" t="s">
        <v>232</v>
      </c>
      <c r="AM11" s="114" t="s">
        <v>232</v>
      </c>
      <c r="AN11" s="114" t="s">
        <v>232</v>
      </c>
      <c r="AO11" s="114" t="s">
        <v>232</v>
      </c>
      <c r="AP11" s="114" t="s">
        <v>232</v>
      </c>
      <c r="AQ11" s="114" t="s">
        <v>232</v>
      </c>
      <c r="AR11" s="114" t="s">
        <v>233</v>
      </c>
      <c r="AS11" s="114" t="s">
        <v>233</v>
      </c>
      <c r="AT11" s="114" t="s">
        <v>232</v>
      </c>
      <c r="AU11" s="114"/>
      <c r="AV11" s="114"/>
      <c r="AW11" s="114"/>
      <c r="AX11" s="114"/>
      <c r="AY11" s="114"/>
    </row>
    <row r="12" spans="2:51" ht="15.75">
      <c r="B12" s="123">
        <v>3</v>
      </c>
      <c r="C12" s="124" t="s">
        <v>152</v>
      </c>
      <c r="D12" s="114" t="s">
        <v>233</v>
      </c>
      <c r="E12" s="114" t="s">
        <v>233</v>
      </c>
      <c r="F12" s="114" t="s">
        <v>233</v>
      </c>
      <c r="G12" s="114" t="s">
        <v>233</v>
      </c>
      <c r="H12" s="114" t="s">
        <v>233</v>
      </c>
      <c r="I12" s="114" t="s">
        <v>233</v>
      </c>
      <c r="J12" s="114" t="s">
        <v>233</v>
      </c>
      <c r="K12" s="114" t="s">
        <v>233</v>
      </c>
      <c r="L12" s="114" t="s">
        <v>233</v>
      </c>
      <c r="M12" s="114" t="s">
        <v>232</v>
      </c>
      <c r="N12" s="114" t="s">
        <v>233</v>
      </c>
      <c r="O12" s="114" t="s">
        <v>233</v>
      </c>
      <c r="P12" s="114" t="s">
        <v>233</v>
      </c>
      <c r="Q12" s="114" t="s">
        <v>233</v>
      </c>
      <c r="R12" s="114" t="s">
        <v>233</v>
      </c>
      <c r="S12" s="114" t="s">
        <v>232</v>
      </c>
      <c r="T12" s="114" t="s">
        <v>233</v>
      </c>
      <c r="U12" s="114" t="s">
        <v>232</v>
      </c>
      <c r="V12" s="114" t="s">
        <v>232</v>
      </c>
      <c r="W12" s="114" t="s">
        <v>233</v>
      </c>
      <c r="X12" s="114" t="s">
        <v>232</v>
      </c>
      <c r="Y12" s="114" t="s">
        <v>232</v>
      </c>
      <c r="Z12" s="114" t="s">
        <v>232</v>
      </c>
      <c r="AA12" s="114" t="s">
        <v>232</v>
      </c>
      <c r="AB12" s="114" t="s">
        <v>233</v>
      </c>
      <c r="AC12" s="114" t="s">
        <v>233</v>
      </c>
      <c r="AD12" s="114" t="s">
        <v>232</v>
      </c>
      <c r="AE12" s="114" t="s">
        <v>233</v>
      </c>
      <c r="AF12" s="114" t="s">
        <v>232</v>
      </c>
      <c r="AG12" s="114" t="s">
        <v>232</v>
      </c>
      <c r="AH12" s="114" t="s">
        <v>232</v>
      </c>
      <c r="AI12" s="114" t="s">
        <v>232</v>
      </c>
      <c r="AJ12" s="114" t="s">
        <v>233</v>
      </c>
      <c r="AK12" s="114" t="s">
        <v>233</v>
      </c>
      <c r="AL12" s="114" t="s">
        <v>233</v>
      </c>
      <c r="AM12" s="114" t="s">
        <v>233</v>
      </c>
      <c r="AN12" s="114" t="s">
        <v>233</v>
      </c>
      <c r="AO12" s="114" t="s">
        <v>233</v>
      </c>
      <c r="AP12" s="114" t="s">
        <v>233</v>
      </c>
      <c r="AQ12" s="114" t="s">
        <v>232</v>
      </c>
      <c r="AR12" s="114" t="s">
        <v>233</v>
      </c>
      <c r="AS12" s="114" t="s">
        <v>233</v>
      </c>
      <c r="AT12" s="114" t="s">
        <v>233</v>
      </c>
      <c r="AU12" s="114"/>
      <c r="AV12" s="114"/>
      <c r="AW12" s="114"/>
      <c r="AX12" s="114"/>
      <c r="AY12" s="114"/>
    </row>
    <row r="13" spans="2:51" ht="15.75">
      <c r="B13" s="123">
        <v>4</v>
      </c>
      <c r="C13" s="124" t="s">
        <v>153</v>
      </c>
      <c r="D13" s="114" t="s">
        <v>233</v>
      </c>
      <c r="E13" s="114" t="s">
        <v>233</v>
      </c>
      <c r="F13" s="114" t="s">
        <v>233</v>
      </c>
      <c r="G13" s="114" t="s">
        <v>233</v>
      </c>
      <c r="H13" s="114" t="s">
        <v>233</v>
      </c>
      <c r="I13" s="114" t="s">
        <v>233</v>
      </c>
      <c r="J13" s="114" t="s">
        <v>233</v>
      </c>
      <c r="K13" s="114" t="s">
        <v>233</v>
      </c>
      <c r="L13" s="114" t="s">
        <v>233</v>
      </c>
      <c r="M13" s="114" t="s">
        <v>232</v>
      </c>
      <c r="N13" s="114" t="s">
        <v>233</v>
      </c>
      <c r="O13" s="114" t="s">
        <v>233</v>
      </c>
      <c r="P13" s="114" t="s">
        <v>233</v>
      </c>
      <c r="Q13" s="114" t="s">
        <v>233</v>
      </c>
      <c r="R13" s="114" t="s">
        <v>233</v>
      </c>
      <c r="S13" s="114" t="s">
        <v>232</v>
      </c>
      <c r="T13" s="114" t="s">
        <v>233</v>
      </c>
      <c r="U13" s="114" t="s">
        <v>232</v>
      </c>
      <c r="V13" s="114" t="s">
        <v>232</v>
      </c>
      <c r="W13" s="114" t="s">
        <v>232</v>
      </c>
      <c r="X13" s="114" t="s">
        <v>232</v>
      </c>
      <c r="Y13" s="114" t="s">
        <v>232</v>
      </c>
      <c r="Z13" s="114" t="s">
        <v>232</v>
      </c>
      <c r="AA13" s="114" t="s">
        <v>232</v>
      </c>
      <c r="AB13" s="114" t="s">
        <v>233</v>
      </c>
      <c r="AC13" s="114" t="s">
        <v>233</v>
      </c>
      <c r="AD13" s="114" t="s">
        <v>232</v>
      </c>
      <c r="AE13" s="114" t="s">
        <v>233</v>
      </c>
      <c r="AF13" s="114" t="s">
        <v>232</v>
      </c>
      <c r="AG13" s="114" t="s">
        <v>232</v>
      </c>
      <c r="AH13" s="114" t="s">
        <v>232</v>
      </c>
      <c r="AI13" s="114" t="s">
        <v>232</v>
      </c>
      <c r="AJ13" s="114" t="s">
        <v>233</v>
      </c>
      <c r="AK13" s="114" t="s">
        <v>233</v>
      </c>
      <c r="AL13" s="114" t="s">
        <v>233</v>
      </c>
      <c r="AM13" s="114" t="s">
        <v>233</v>
      </c>
      <c r="AN13" s="114" t="s">
        <v>233</v>
      </c>
      <c r="AO13" s="114" t="s">
        <v>233</v>
      </c>
      <c r="AP13" s="114" t="s">
        <v>233</v>
      </c>
      <c r="AQ13" s="114" t="s">
        <v>232</v>
      </c>
      <c r="AR13" s="114" t="s">
        <v>233</v>
      </c>
      <c r="AS13" s="114" t="s">
        <v>233</v>
      </c>
      <c r="AT13" s="114" t="s">
        <v>233</v>
      </c>
      <c r="AU13" s="114"/>
      <c r="AV13" s="114"/>
      <c r="AW13" s="114"/>
      <c r="AX13" s="114"/>
      <c r="AY13" s="114"/>
    </row>
    <row r="14" spans="2:51" ht="15.75">
      <c r="B14" s="123">
        <v>5</v>
      </c>
      <c r="C14" s="124" t="s">
        <v>154</v>
      </c>
      <c r="D14" s="114" t="s">
        <v>232</v>
      </c>
      <c r="E14" s="114" t="s">
        <v>232</v>
      </c>
      <c r="F14" s="114" t="s">
        <v>232</v>
      </c>
      <c r="G14" s="114" t="s">
        <v>232</v>
      </c>
      <c r="H14" s="114" t="s">
        <v>232</v>
      </c>
      <c r="I14" s="114" t="s">
        <v>232</v>
      </c>
      <c r="J14" s="114" t="s">
        <v>232</v>
      </c>
      <c r="K14" s="114" t="s">
        <v>232</v>
      </c>
      <c r="L14" s="114" t="s">
        <v>232</v>
      </c>
      <c r="M14" s="114" t="s">
        <v>232</v>
      </c>
      <c r="N14" s="114" t="s">
        <v>232</v>
      </c>
      <c r="O14" s="114" t="s">
        <v>232</v>
      </c>
      <c r="P14" s="114" t="s">
        <v>232</v>
      </c>
      <c r="Q14" s="114" t="s">
        <v>232</v>
      </c>
      <c r="R14" s="114" t="s">
        <v>232</v>
      </c>
      <c r="S14" s="114" t="s">
        <v>232</v>
      </c>
      <c r="T14" s="114" t="s">
        <v>232</v>
      </c>
      <c r="U14" s="114" t="s">
        <v>232</v>
      </c>
      <c r="V14" s="114" t="s">
        <v>232</v>
      </c>
      <c r="W14" s="114" t="s">
        <v>232</v>
      </c>
      <c r="X14" s="114" t="s">
        <v>232</v>
      </c>
      <c r="Y14" s="114" t="s">
        <v>232</v>
      </c>
      <c r="Z14" s="114" t="s">
        <v>232</v>
      </c>
      <c r="AA14" s="114" t="s">
        <v>232</v>
      </c>
      <c r="AB14" s="114" t="s">
        <v>232</v>
      </c>
      <c r="AC14" s="114" t="s">
        <v>232</v>
      </c>
      <c r="AD14" s="114" t="s">
        <v>232</v>
      </c>
      <c r="AE14" s="114" t="s">
        <v>232</v>
      </c>
      <c r="AF14" s="114" t="s">
        <v>232</v>
      </c>
      <c r="AG14" s="114" t="s">
        <v>232</v>
      </c>
      <c r="AH14" s="114" t="s">
        <v>232</v>
      </c>
      <c r="AI14" s="114" t="s">
        <v>232</v>
      </c>
      <c r="AJ14" s="114" t="s">
        <v>232</v>
      </c>
      <c r="AK14" s="114" t="s">
        <v>232</v>
      </c>
      <c r="AL14" s="114" t="s">
        <v>233</v>
      </c>
      <c r="AM14" s="114" t="s">
        <v>233</v>
      </c>
      <c r="AN14" s="114" t="s">
        <v>232</v>
      </c>
      <c r="AO14" s="114" t="s">
        <v>232</v>
      </c>
      <c r="AP14" s="114" t="s">
        <v>232</v>
      </c>
      <c r="AQ14" s="114" t="s">
        <v>232</v>
      </c>
      <c r="AR14" s="114" t="s">
        <v>232</v>
      </c>
      <c r="AS14" s="114" t="s">
        <v>232</v>
      </c>
      <c r="AT14" s="114" t="s">
        <v>232</v>
      </c>
      <c r="AU14" s="114"/>
      <c r="AV14" s="114"/>
      <c r="AW14" s="114"/>
      <c r="AX14" s="114"/>
      <c r="AY14" s="114"/>
    </row>
    <row r="15" spans="2:51" ht="15.75">
      <c r="B15" s="123">
        <v>6</v>
      </c>
      <c r="C15" s="124" t="s">
        <v>155</v>
      </c>
      <c r="D15" s="114" t="s">
        <v>232</v>
      </c>
      <c r="E15" s="114" t="s">
        <v>232</v>
      </c>
      <c r="F15" s="114" t="s">
        <v>233</v>
      </c>
      <c r="G15" s="114" t="s">
        <v>233</v>
      </c>
      <c r="H15" s="114" t="s">
        <v>232</v>
      </c>
      <c r="I15" s="114" t="s">
        <v>232</v>
      </c>
      <c r="J15" s="114" t="s">
        <v>233</v>
      </c>
      <c r="K15" s="114" t="s">
        <v>233</v>
      </c>
      <c r="L15" s="114" t="s">
        <v>232</v>
      </c>
      <c r="M15" s="114" t="s">
        <v>232</v>
      </c>
      <c r="N15" s="114" t="s">
        <v>233</v>
      </c>
      <c r="O15" s="114" t="s">
        <v>232</v>
      </c>
      <c r="P15" s="114" t="s">
        <v>232</v>
      </c>
      <c r="Q15" s="114" t="s">
        <v>232</v>
      </c>
      <c r="R15" s="114" t="s">
        <v>232</v>
      </c>
      <c r="S15" s="114" t="s">
        <v>232</v>
      </c>
      <c r="T15" s="114" t="s">
        <v>233</v>
      </c>
      <c r="U15" s="114" t="s">
        <v>233</v>
      </c>
      <c r="V15" s="114" t="s">
        <v>233</v>
      </c>
      <c r="W15" s="114" t="s">
        <v>233</v>
      </c>
      <c r="X15" s="114" t="s">
        <v>232</v>
      </c>
      <c r="Y15" s="114" t="s">
        <v>232</v>
      </c>
      <c r="Z15" s="114" t="s">
        <v>232</v>
      </c>
      <c r="AA15" s="114" t="s">
        <v>232</v>
      </c>
      <c r="AB15" s="114" t="s">
        <v>232</v>
      </c>
      <c r="AC15" s="114" t="s">
        <v>232</v>
      </c>
      <c r="AD15" s="114" t="s">
        <v>232</v>
      </c>
      <c r="AE15" s="114" t="s">
        <v>232</v>
      </c>
      <c r="AF15" s="114" t="s">
        <v>232</v>
      </c>
      <c r="AG15" s="114" t="s">
        <v>232</v>
      </c>
      <c r="AH15" s="114" t="s">
        <v>233</v>
      </c>
      <c r="AI15" s="114" t="s">
        <v>233</v>
      </c>
      <c r="AJ15" s="114" t="s">
        <v>232</v>
      </c>
      <c r="AK15" s="114" t="s">
        <v>232</v>
      </c>
      <c r="AL15" s="114" t="s">
        <v>232</v>
      </c>
      <c r="AM15" s="114" t="s">
        <v>232</v>
      </c>
      <c r="AN15" s="114" t="s">
        <v>232</v>
      </c>
      <c r="AO15" s="114" t="s">
        <v>232</v>
      </c>
      <c r="AP15" s="114" t="s">
        <v>232</v>
      </c>
      <c r="AQ15" s="114" t="s">
        <v>232</v>
      </c>
      <c r="AR15" s="114" t="s">
        <v>233</v>
      </c>
      <c r="AS15" s="114" t="s">
        <v>232</v>
      </c>
      <c r="AT15" s="114" t="s">
        <v>233</v>
      </c>
      <c r="AU15" s="114"/>
      <c r="AV15" s="114"/>
      <c r="AW15" s="114"/>
      <c r="AX15" s="114"/>
      <c r="AY15" s="114"/>
    </row>
    <row r="16" spans="2:51" ht="15.75">
      <c r="B16" s="123">
        <v>7</v>
      </c>
      <c r="C16" s="124" t="s">
        <v>156</v>
      </c>
      <c r="D16" s="114" t="s">
        <v>233</v>
      </c>
      <c r="E16" s="114" t="s">
        <v>232</v>
      </c>
      <c r="F16" s="114" t="s">
        <v>232</v>
      </c>
      <c r="G16" s="114" t="s">
        <v>232</v>
      </c>
      <c r="H16" s="114" t="s">
        <v>232</v>
      </c>
      <c r="I16" s="114" t="s">
        <v>233</v>
      </c>
      <c r="J16" s="114" t="s">
        <v>233</v>
      </c>
      <c r="K16" s="114" t="s">
        <v>233</v>
      </c>
      <c r="L16" s="114" t="s">
        <v>233</v>
      </c>
      <c r="M16" s="114" t="s">
        <v>232</v>
      </c>
      <c r="N16" s="114" t="s">
        <v>232</v>
      </c>
      <c r="O16" s="114" t="s">
        <v>232</v>
      </c>
      <c r="P16" s="114" t="s">
        <v>232</v>
      </c>
      <c r="Q16" s="114" t="s">
        <v>232</v>
      </c>
      <c r="R16" s="114" t="s">
        <v>232</v>
      </c>
      <c r="S16" s="114" t="s">
        <v>232</v>
      </c>
      <c r="T16" s="114" t="s">
        <v>233</v>
      </c>
      <c r="U16" s="114" t="s">
        <v>232</v>
      </c>
      <c r="V16" s="114" t="s">
        <v>232</v>
      </c>
      <c r="W16" s="114" t="s">
        <v>232</v>
      </c>
      <c r="X16" s="114" t="s">
        <v>232</v>
      </c>
      <c r="Y16" s="114" t="s">
        <v>232</v>
      </c>
      <c r="Z16" s="114" t="s">
        <v>232</v>
      </c>
      <c r="AA16" s="114" t="s">
        <v>233</v>
      </c>
      <c r="AB16" s="114" t="s">
        <v>233</v>
      </c>
      <c r="AC16" s="114" t="s">
        <v>233</v>
      </c>
      <c r="AD16" s="114" t="s">
        <v>232</v>
      </c>
      <c r="AE16" s="114" t="s">
        <v>233</v>
      </c>
      <c r="AF16" s="114" t="s">
        <v>233</v>
      </c>
      <c r="AG16" s="114" t="s">
        <v>233</v>
      </c>
      <c r="AH16" s="114" t="s">
        <v>232</v>
      </c>
      <c r="AI16" s="114" t="s">
        <v>233</v>
      </c>
      <c r="AJ16" s="114" t="s">
        <v>232</v>
      </c>
      <c r="AK16" s="114" t="s">
        <v>232</v>
      </c>
      <c r="AL16" s="114" t="s">
        <v>232</v>
      </c>
      <c r="AM16" s="114" t="s">
        <v>232</v>
      </c>
      <c r="AN16" s="114" t="s">
        <v>232</v>
      </c>
      <c r="AO16" s="114" t="s">
        <v>232</v>
      </c>
      <c r="AP16" s="114" t="s">
        <v>233</v>
      </c>
      <c r="AQ16" s="114" t="s">
        <v>232</v>
      </c>
      <c r="AR16" s="114" t="s">
        <v>233</v>
      </c>
      <c r="AS16" s="114" t="s">
        <v>233</v>
      </c>
      <c r="AT16" s="114" t="s">
        <v>233</v>
      </c>
      <c r="AU16" s="114"/>
      <c r="AV16" s="114"/>
      <c r="AW16" s="114"/>
      <c r="AX16" s="114"/>
      <c r="AY16" s="114"/>
    </row>
    <row r="17" spans="2:51" ht="30">
      <c r="B17" s="123">
        <v>8</v>
      </c>
      <c r="C17" s="124" t="s">
        <v>157</v>
      </c>
      <c r="D17" s="114" t="s">
        <v>233</v>
      </c>
      <c r="E17" s="114" t="s">
        <v>233</v>
      </c>
      <c r="F17" s="114" t="s">
        <v>233</v>
      </c>
      <c r="G17" s="114" t="s">
        <v>233</v>
      </c>
      <c r="H17" s="114" t="s">
        <v>233</v>
      </c>
      <c r="I17" s="114" t="s">
        <v>233</v>
      </c>
      <c r="J17" s="114" t="s">
        <v>233</v>
      </c>
      <c r="K17" s="114" t="s">
        <v>233</v>
      </c>
      <c r="L17" s="114" t="s">
        <v>233</v>
      </c>
      <c r="M17" s="114" t="s">
        <v>233</v>
      </c>
      <c r="N17" s="114" t="s">
        <v>233</v>
      </c>
      <c r="O17" s="114" t="s">
        <v>233</v>
      </c>
      <c r="P17" s="114" t="s">
        <v>233</v>
      </c>
      <c r="Q17" s="114" t="s">
        <v>233</v>
      </c>
      <c r="R17" s="114" t="s">
        <v>233</v>
      </c>
      <c r="S17" s="114" t="s">
        <v>232</v>
      </c>
      <c r="T17" s="114" t="s">
        <v>233</v>
      </c>
      <c r="U17" s="114" t="s">
        <v>232</v>
      </c>
      <c r="V17" s="114" t="s">
        <v>232</v>
      </c>
      <c r="W17" s="114" t="s">
        <v>232</v>
      </c>
      <c r="X17" s="114" t="s">
        <v>233</v>
      </c>
      <c r="Y17" s="114" t="s">
        <v>233</v>
      </c>
      <c r="Z17" s="114" t="s">
        <v>233</v>
      </c>
      <c r="AA17" s="114" t="s">
        <v>233</v>
      </c>
      <c r="AB17" s="114" t="s">
        <v>233</v>
      </c>
      <c r="AC17" s="114" t="s">
        <v>233</v>
      </c>
      <c r="AD17" s="114" t="s">
        <v>232</v>
      </c>
      <c r="AE17" s="114" t="s">
        <v>233</v>
      </c>
      <c r="AF17" s="114" t="s">
        <v>233</v>
      </c>
      <c r="AG17" s="114" t="s">
        <v>233</v>
      </c>
      <c r="AH17" s="114" t="s">
        <v>232</v>
      </c>
      <c r="AI17" s="114" t="s">
        <v>233</v>
      </c>
      <c r="AJ17" s="114" t="s">
        <v>233</v>
      </c>
      <c r="AK17" s="114" t="s">
        <v>233</v>
      </c>
      <c r="AL17" s="114" t="s">
        <v>233</v>
      </c>
      <c r="AM17" s="114" t="s">
        <v>233</v>
      </c>
      <c r="AN17" s="114" t="s">
        <v>233</v>
      </c>
      <c r="AO17" s="114" t="s">
        <v>233</v>
      </c>
      <c r="AP17" s="114" t="s">
        <v>233</v>
      </c>
      <c r="AQ17" s="114" t="s">
        <v>232</v>
      </c>
      <c r="AR17" s="114" t="s">
        <v>233</v>
      </c>
      <c r="AS17" s="114" t="s">
        <v>233</v>
      </c>
      <c r="AT17" s="114" t="s">
        <v>233</v>
      </c>
      <c r="AU17" s="114"/>
      <c r="AV17" s="114"/>
      <c r="AW17" s="114"/>
      <c r="AX17" s="114"/>
      <c r="AY17" s="114"/>
    </row>
    <row r="18" spans="2:51" ht="15.75">
      <c r="B18" s="123">
        <v>9</v>
      </c>
      <c r="C18" s="124" t="s">
        <v>158</v>
      </c>
      <c r="D18" s="114" t="s">
        <v>232</v>
      </c>
      <c r="E18" s="114" t="s">
        <v>232</v>
      </c>
      <c r="F18" s="114" t="s">
        <v>232</v>
      </c>
      <c r="G18" s="114" t="s">
        <v>232</v>
      </c>
      <c r="H18" s="114" t="s">
        <v>232</v>
      </c>
      <c r="I18" s="114" t="s">
        <v>233</v>
      </c>
      <c r="J18" s="114" t="s">
        <v>233</v>
      </c>
      <c r="K18" s="114" t="s">
        <v>232</v>
      </c>
      <c r="L18" s="114" t="s">
        <v>233</v>
      </c>
      <c r="M18" s="114" t="s">
        <v>232</v>
      </c>
      <c r="N18" s="114" t="s">
        <v>233</v>
      </c>
      <c r="O18" s="114" t="s">
        <v>233</v>
      </c>
      <c r="P18" s="114" t="s">
        <v>233</v>
      </c>
      <c r="Q18" s="114" t="s">
        <v>233</v>
      </c>
      <c r="R18" s="114" t="s">
        <v>233</v>
      </c>
      <c r="S18" s="114" t="s">
        <v>232</v>
      </c>
      <c r="T18" s="114" t="s">
        <v>232</v>
      </c>
      <c r="U18" s="114" t="s">
        <v>232</v>
      </c>
      <c r="V18" s="114" t="s">
        <v>232</v>
      </c>
      <c r="W18" s="114" t="s">
        <v>233</v>
      </c>
      <c r="X18" s="114" t="s">
        <v>232</v>
      </c>
      <c r="Y18" s="114" t="s">
        <v>232</v>
      </c>
      <c r="Z18" s="114" t="s">
        <v>233</v>
      </c>
      <c r="AA18" s="114" t="s">
        <v>233</v>
      </c>
      <c r="AB18" s="114" t="s">
        <v>233</v>
      </c>
      <c r="AC18" s="114" t="s">
        <v>233</v>
      </c>
      <c r="AD18" s="114" t="s">
        <v>233</v>
      </c>
      <c r="AE18" s="114" t="s">
        <v>233</v>
      </c>
      <c r="AF18" s="114" t="s">
        <v>233</v>
      </c>
      <c r="AG18" s="114" t="s">
        <v>233</v>
      </c>
      <c r="AH18" s="114" t="s">
        <v>233</v>
      </c>
      <c r="AI18" s="114" t="s">
        <v>233</v>
      </c>
      <c r="AJ18" s="114" t="s">
        <v>233</v>
      </c>
      <c r="AK18" s="114" t="s">
        <v>233</v>
      </c>
      <c r="AL18" s="114" t="s">
        <v>233</v>
      </c>
      <c r="AM18" s="114" t="s">
        <v>233</v>
      </c>
      <c r="AN18" s="114" t="s">
        <v>233</v>
      </c>
      <c r="AO18" s="114" t="s">
        <v>233</v>
      </c>
      <c r="AP18" s="114" t="s">
        <v>233</v>
      </c>
      <c r="AQ18" s="114" t="s">
        <v>232</v>
      </c>
      <c r="AR18" s="114" t="s">
        <v>232</v>
      </c>
      <c r="AS18" s="114" t="s">
        <v>233</v>
      </c>
      <c r="AT18" s="114" t="s">
        <v>233</v>
      </c>
      <c r="AU18" s="114"/>
      <c r="AV18" s="114"/>
      <c r="AW18" s="114"/>
      <c r="AX18" s="114"/>
      <c r="AY18" s="114"/>
    </row>
    <row r="19" spans="2:51" ht="15.75">
      <c r="B19" s="123">
        <v>10</v>
      </c>
      <c r="C19" s="124" t="s">
        <v>159</v>
      </c>
      <c r="D19" s="114" t="s">
        <v>232</v>
      </c>
      <c r="E19" s="114" t="s">
        <v>232</v>
      </c>
      <c r="F19" s="114" t="s">
        <v>232</v>
      </c>
      <c r="G19" s="114" t="s">
        <v>233</v>
      </c>
      <c r="H19" s="114" t="s">
        <v>232</v>
      </c>
      <c r="I19" s="114" t="s">
        <v>232</v>
      </c>
      <c r="J19" s="114" t="s">
        <v>232</v>
      </c>
      <c r="K19" s="114" t="s">
        <v>232</v>
      </c>
      <c r="L19" s="114" t="s">
        <v>232</v>
      </c>
      <c r="M19" s="114" t="s">
        <v>232</v>
      </c>
      <c r="N19" s="114" t="s">
        <v>232</v>
      </c>
      <c r="O19" s="114" t="s">
        <v>232</v>
      </c>
      <c r="P19" s="114" t="s">
        <v>232</v>
      </c>
      <c r="Q19" s="114" t="s">
        <v>232</v>
      </c>
      <c r="R19" s="114" t="s">
        <v>232</v>
      </c>
      <c r="S19" s="114" t="s">
        <v>232</v>
      </c>
      <c r="T19" s="114" t="s">
        <v>232</v>
      </c>
      <c r="U19" s="114" t="s">
        <v>232</v>
      </c>
      <c r="V19" s="114" t="s">
        <v>232</v>
      </c>
      <c r="W19" s="114" t="s">
        <v>232</v>
      </c>
      <c r="X19" s="114" t="s">
        <v>232</v>
      </c>
      <c r="Y19" s="114" t="s">
        <v>232</v>
      </c>
      <c r="Z19" s="114" t="s">
        <v>232</v>
      </c>
      <c r="AA19" s="114" t="s">
        <v>233</v>
      </c>
      <c r="AB19" s="114" t="s">
        <v>233</v>
      </c>
      <c r="AC19" s="114" t="s">
        <v>233</v>
      </c>
      <c r="AD19" s="114" t="s">
        <v>232</v>
      </c>
      <c r="AE19" s="114" t="s">
        <v>232</v>
      </c>
      <c r="AF19" s="114" t="s">
        <v>232</v>
      </c>
      <c r="AG19" s="114" t="s">
        <v>232</v>
      </c>
      <c r="AH19" s="114" t="s">
        <v>232</v>
      </c>
      <c r="AI19" s="114" t="s">
        <v>232</v>
      </c>
      <c r="AJ19" s="114" t="s">
        <v>232</v>
      </c>
      <c r="AK19" s="114" t="s">
        <v>232</v>
      </c>
      <c r="AL19" s="114" t="s">
        <v>232</v>
      </c>
      <c r="AM19" s="114" t="s">
        <v>232</v>
      </c>
      <c r="AN19" s="114" t="s">
        <v>232</v>
      </c>
      <c r="AO19" s="114" t="s">
        <v>232</v>
      </c>
      <c r="AP19" s="114" t="s">
        <v>232</v>
      </c>
      <c r="AQ19" s="114" t="s">
        <v>232</v>
      </c>
      <c r="AR19" s="114" t="s">
        <v>233</v>
      </c>
      <c r="AS19" s="114" t="s">
        <v>232</v>
      </c>
      <c r="AT19" s="114" t="s">
        <v>232</v>
      </c>
      <c r="AU19" s="114"/>
      <c r="AV19" s="114"/>
      <c r="AW19" s="114"/>
      <c r="AX19" s="114"/>
      <c r="AY19" s="114"/>
    </row>
    <row r="20" spans="2:51" ht="15.75">
      <c r="B20" s="123">
        <v>11</v>
      </c>
      <c r="C20" s="124" t="s">
        <v>160</v>
      </c>
      <c r="D20" s="114" t="s">
        <v>233</v>
      </c>
      <c r="E20" s="114" t="s">
        <v>232</v>
      </c>
      <c r="F20" s="114" t="s">
        <v>232</v>
      </c>
      <c r="G20" s="114" t="s">
        <v>233</v>
      </c>
      <c r="H20" s="114" t="s">
        <v>233</v>
      </c>
      <c r="I20" s="114" t="s">
        <v>232</v>
      </c>
      <c r="J20" s="114" t="s">
        <v>232</v>
      </c>
      <c r="K20" s="114" t="s">
        <v>232</v>
      </c>
      <c r="L20" s="114" t="s">
        <v>232</v>
      </c>
      <c r="M20" s="114" t="s">
        <v>232</v>
      </c>
      <c r="N20" s="114" t="s">
        <v>232</v>
      </c>
      <c r="O20" s="114" t="s">
        <v>232</v>
      </c>
      <c r="P20" s="114" t="s">
        <v>232</v>
      </c>
      <c r="Q20" s="114" t="s">
        <v>232</v>
      </c>
      <c r="R20" s="114" t="s">
        <v>232</v>
      </c>
      <c r="S20" s="114" t="s">
        <v>232</v>
      </c>
      <c r="T20" s="114" t="s">
        <v>232</v>
      </c>
      <c r="U20" s="114" t="s">
        <v>232</v>
      </c>
      <c r="V20" s="114" t="s">
        <v>232</v>
      </c>
      <c r="W20" s="114" t="s">
        <v>232</v>
      </c>
      <c r="X20" s="114" t="s">
        <v>232</v>
      </c>
      <c r="Y20" s="114" t="s">
        <v>232</v>
      </c>
      <c r="Z20" s="114" t="s">
        <v>232</v>
      </c>
      <c r="AA20" s="114" t="s">
        <v>232</v>
      </c>
      <c r="AB20" s="114" t="s">
        <v>232</v>
      </c>
      <c r="AC20" s="114" t="s">
        <v>232</v>
      </c>
      <c r="AD20" s="114" t="s">
        <v>232</v>
      </c>
      <c r="AE20" s="114" t="s">
        <v>232</v>
      </c>
      <c r="AF20" s="114" t="s">
        <v>232</v>
      </c>
      <c r="AG20" s="114" t="s">
        <v>232</v>
      </c>
      <c r="AH20" s="114" t="s">
        <v>232</v>
      </c>
      <c r="AI20" s="114" t="s">
        <v>232</v>
      </c>
      <c r="AJ20" s="114" t="s">
        <v>232</v>
      </c>
      <c r="AK20" s="114" t="s">
        <v>232</v>
      </c>
      <c r="AL20" s="114" t="s">
        <v>232</v>
      </c>
      <c r="AM20" s="114" t="s">
        <v>232</v>
      </c>
      <c r="AN20" s="114" t="s">
        <v>232</v>
      </c>
      <c r="AO20" s="114" t="s">
        <v>232</v>
      </c>
      <c r="AP20" s="114" t="s">
        <v>232</v>
      </c>
      <c r="AQ20" s="114" t="s">
        <v>232</v>
      </c>
      <c r="AR20" s="114" t="s">
        <v>233</v>
      </c>
      <c r="AS20" s="114" t="s">
        <v>232</v>
      </c>
      <c r="AT20" s="114" t="s">
        <v>232</v>
      </c>
      <c r="AU20" s="114"/>
      <c r="AV20" s="114"/>
      <c r="AW20" s="114"/>
      <c r="AX20" s="114"/>
      <c r="AY20" s="114"/>
    </row>
    <row r="21" spans="2:51" ht="15.75">
      <c r="B21" s="123">
        <v>12</v>
      </c>
      <c r="C21" s="124" t="s">
        <v>161</v>
      </c>
      <c r="D21" s="114" t="s">
        <v>232</v>
      </c>
      <c r="E21" s="114" t="s">
        <v>232</v>
      </c>
      <c r="F21" s="114" t="s">
        <v>232</v>
      </c>
      <c r="G21" s="114" t="s">
        <v>232</v>
      </c>
      <c r="H21" s="114" t="s">
        <v>232</v>
      </c>
      <c r="I21" s="114" t="s">
        <v>232</v>
      </c>
      <c r="J21" s="114" t="s">
        <v>232</v>
      </c>
      <c r="K21" s="114" t="s">
        <v>232</v>
      </c>
      <c r="L21" s="114" t="s">
        <v>232</v>
      </c>
      <c r="M21" s="114" t="s">
        <v>232</v>
      </c>
      <c r="N21" s="114" t="s">
        <v>232</v>
      </c>
      <c r="O21" s="114" t="s">
        <v>232</v>
      </c>
      <c r="P21" s="114" t="s">
        <v>232</v>
      </c>
      <c r="Q21" s="114" t="s">
        <v>232</v>
      </c>
      <c r="R21" s="114" t="s">
        <v>232</v>
      </c>
      <c r="S21" s="114" t="s">
        <v>232</v>
      </c>
      <c r="T21" s="114" t="s">
        <v>232</v>
      </c>
      <c r="U21" s="114" t="s">
        <v>232</v>
      </c>
      <c r="V21" s="114" t="s">
        <v>232</v>
      </c>
      <c r="W21" s="114" t="s">
        <v>232</v>
      </c>
      <c r="X21" s="114" t="s">
        <v>232</v>
      </c>
      <c r="Y21" s="114" t="s">
        <v>232</v>
      </c>
      <c r="Z21" s="114" t="s">
        <v>232</v>
      </c>
      <c r="AA21" s="114" t="s">
        <v>232</v>
      </c>
      <c r="AB21" s="114" t="s">
        <v>232</v>
      </c>
      <c r="AC21" s="114" t="s">
        <v>232</v>
      </c>
      <c r="AD21" s="114" t="s">
        <v>232</v>
      </c>
      <c r="AE21" s="114" t="s">
        <v>232</v>
      </c>
      <c r="AF21" s="114" t="s">
        <v>232</v>
      </c>
      <c r="AG21" s="114" t="s">
        <v>232</v>
      </c>
      <c r="AH21" s="114" t="s">
        <v>232</v>
      </c>
      <c r="AI21" s="114" t="s">
        <v>232</v>
      </c>
      <c r="AJ21" s="114" t="s">
        <v>232</v>
      </c>
      <c r="AK21" s="114" t="s">
        <v>232</v>
      </c>
      <c r="AL21" s="114" t="s">
        <v>232</v>
      </c>
      <c r="AM21" s="114" t="s">
        <v>232</v>
      </c>
      <c r="AN21" s="114" t="s">
        <v>232</v>
      </c>
      <c r="AO21" s="114" t="s">
        <v>232</v>
      </c>
      <c r="AP21" s="114" t="s">
        <v>232</v>
      </c>
      <c r="AQ21" s="114" t="s">
        <v>232</v>
      </c>
      <c r="AR21" s="114" t="s">
        <v>232</v>
      </c>
      <c r="AS21" s="114" t="s">
        <v>232</v>
      </c>
      <c r="AT21" s="114" t="s">
        <v>232</v>
      </c>
      <c r="AU21" s="114"/>
      <c r="AV21" s="114"/>
      <c r="AW21" s="114"/>
      <c r="AX21" s="114"/>
      <c r="AY21" s="114"/>
    </row>
    <row r="22" spans="2:51" ht="15.75">
      <c r="B22" s="123">
        <v>13</v>
      </c>
      <c r="C22" s="124" t="s">
        <v>162</v>
      </c>
      <c r="D22" s="114" t="s">
        <v>232</v>
      </c>
      <c r="E22" s="114" t="s">
        <v>232</v>
      </c>
      <c r="F22" s="114" t="s">
        <v>233</v>
      </c>
      <c r="G22" s="114" t="s">
        <v>233</v>
      </c>
      <c r="H22" s="114" t="s">
        <v>233</v>
      </c>
      <c r="I22" s="114" t="s">
        <v>232</v>
      </c>
      <c r="J22" s="114" t="s">
        <v>232</v>
      </c>
      <c r="K22" s="114" t="s">
        <v>232</v>
      </c>
      <c r="L22" s="114" t="s">
        <v>232</v>
      </c>
      <c r="M22" s="114" t="s">
        <v>232</v>
      </c>
      <c r="N22" s="114" t="s">
        <v>232</v>
      </c>
      <c r="O22" s="114" t="s">
        <v>232</v>
      </c>
      <c r="P22" s="114" t="s">
        <v>232</v>
      </c>
      <c r="Q22" s="114" t="s">
        <v>232</v>
      </c>
      <c r="R22" s="114" t="s">
        <v>232</v>
      </c>
      <c r="S22" s="114" t="s">
        <v>232</v>
      </c>
      <c r="T22" s="114" t="s">
        <v>233</v>
      </c>
      <c r="U22" s="114" t="s">
        <v>233</v>
      </c>
      <c r="V22" s="114" t="s">
        <v>233</v>
      </c>
      <c r="W22" s="114" t="s">
        <v>232</v>
      </c>
      <c r="X22" s="114" t="s">
        <v>232</v>
      </c>
      <c r="Y22" s="114" t="s">
        <v>232</v>
      </c>
      <c r="Z22" s="114" t="s">
        <v>233</v>
      </c>
      <c r="AA22" s="114" t="s">
        <v>233</v>
      </c>
      <c r="AB22" s="114" t="s">
        <v>232</v>
      </c>
      <c r="AC22" s="114" t="s">
        <v>232</v>
      </c>
      <c r="AD22" s="114" t="s">
        <v>232</v>
      </c>
      <c r="AE22" s="114" t="s">
        <v>232</v>
      </c>
      <c r="AF22" s="114" t="s">
        <v>232</v>
      </c>
      <c r="AG22" s="114" t="s">
        <v>232</v>
      </c>
      <c r="AH22" s="114" t="s">
        <v>232</v>
      </c>
      <c r="AI22" s="114" t="s">
        <v>232</v>
      </c>
      <c r="AJ22" s="114" t="s">
        <v>232</v>
      </c>
      <c r="AK22" s="114" t="s">
        <v>232</v>
      </c>
      <c r="AL22" s="114" t="s">
        <v>232</v>
      </c>
      <c r="AM22" s="114" t="s">
        <v>232</v>
      </c>
      <c r="AN22" s="114" t="s">
        <v>232</v>
      </c>
      <c r="AO22" s="114" t="s">
        <v>232</v>
      </c>
      <c r="AP22" s="114" t="s">
        <v>232</v>
      </c>
      <c r="AQ22" s="114" t="s">
        <v>232</v>
      </c>
      <c r="AR22" s="114" t="s">
        <v>233</v>
      </c>
      <c r="AS22" s="114" t="s">
        <v>232</v>
      </c>
      <c r="AT22" s="114" t="s">
        <v>233</v>
      </c>
      <c r="AU22" s="114"/>
      <c r="AV22" s="114"/>
      <c r="AW22" s="114"/>
      <c r="AX22" s="114"/>
      <c r="AY22" s="114"/>
    </row>
    <row r="23" spans="2:51" ht="15.75">
      <c r="B23" s="123">
        <v>14</v>
      </c>
      <c r="C23" s="124" t="s">
        <v>163</v>
      </c>
      <c r="D23" s="114" t="s">
        <v>232</v>
      </c>
      <c r="E23" s="114" t="s">
        <v>232</v>
      </c>
      <c r="F23" s="114" t="s">
        <v>232</v>
      </c>
      <c r="G23" s="114" t="s">
        <v>233</v>
      </c>
      <c r="H23" s="114" t="s">
        <v>233</v>
      </c>
      <c r="I23" s="114" t="s">
        <v>232</v>
      </c>
      <c r="J23" s="114" t="s">
        <v>233</v>
      </c>
      <c r="K23" s="114" t="s">
        <v>232</v>
      </c>
      <c r="L23" s="114" t="s">
        <v>232</v>
      </c>
      <c r="M23" s="114" t="s">
        <v>232</v>
      </c>
      <c r="N23" s="114" t="s">
        <v>233</v>
      </c>
      <c r="O23" s="114" t="s">
        <v>232</v>
      </c>
      <c r="P23" s="114" t="s">
        <v>232</v>
      </c>
      <c r="Q23" s="114" t="s">
        <v>232</v>
      </c>
      <c r="R23" s="114" t="s">
        <v>232</v>
      </c>
      <c r="S23" s="114" t="s">
        <v>232</v>
      </c>
      <c r="T23" s="114" t="s">
        <v>233</v>
      </c>
      <c r="U23" s="114" t="s">
        <v>232</v>
      </c>
      <c r="V23" s="114" t="s">
        <v>232</v>
      </c>
      <c r="W23" s="114" t="s">
        <v>233</v>
      </c>
      <c r="X23" s="114" t="s">
        <v>232</v>
      </c>
      <c r="Y23" s="114" t="s">
        <v>232</v>
      </c>
      <c r="Z23" s="114" t="s">
        <v>233</v>
      </c>
      <c r="AA23" s="114" t="s">
        <v>233</v>
      </c>
      <c r="AB23" s="114" t="s">
        <v>232</v>
      </c>
      <c r="AC23" s="114" t="s">
        <v>232</v>
      </c>
      <c r="AD23" s="114" t="s">
        <v>232</v>
      </c>
      <c r="AE23" s="114" t="s">
        <v>233</v>
      </c>
      <c r="AF23" s="114" t="s">
        <v>232</v>
      </c>
      <c r="AG23" s="114" t="s">
        <v>232</v>
      </c>
      <c r="AH23" s="114" t="s">
        <v>232</v>
      </c>
      <c r="AI23" s="114" t="s">
        <v>232</v>
      </c>
      <c r="AJ23" s="114" t="s">
        <v>232</v>
      </c>
      <c r="AK23" s="114" t="s">
        <v>232</v>
      </c>
      <c r="AL23" s="114" t="s">
        <v>232</v>
      </c>
      <c r="AM23" s="114" t="s">
        <v>232</v>
      </c>
      <c r="AN23" s="114" t="s">
        <v>232</v>
      </c>
      <c r="AO23" s="114" t="s">
        <v>232</v>
      </c>
      <c r="AP23" s="114" t="s">
        <v>232</v>
      </c>
      <c r="AQ23" s="114" t="s">
        <v>232</v>
      </c>
      <c r="AR23" s="114" t="s">
        <v>233</v>
      </c>
      <c r="AS23" s="114" t="s">
        <v>232</v>
      </c>
      <c r="AT23" s="114" t="s">
        <v>233</v>
      </c>
      <c r="AU23" s="114"/>
      <c r="AV23" s="114"/>
      <c r="AW23" s="114"/>
      <c r="AX23" s="114"/>
      <c r="AY23" s="114"/>
    </row>
    <row r="24" spans="2:51" ht="15.75">
      <c r="B24" s="123">
        <v>15</v>
      </c>
      <c r="C24" s="124" t="s">
        <v>164</v>
      </c>
      <c r="D24" s="114" t="s">
        <v>233</v>
      </c>
      <c r="E24" s="114" t="s">
        <v>233</v>
      </c>
      <c r="F24" s="114" t="s">
        <v>232</v>
      </c>
      <c r="G24" s="114" t="s">
        <v>232</v>
      </c>
      <c r="H24" s="114" t="s">
        <v>232</v>
      </c>
      <c r="I24" s="114" t="s">
        <v>232</v>
      </c>
      <c r="J24" s="114" t="s">
        <v>233</v>
      </c>
      <c r="K24" s="114" t="s">
        <v>233</v>
      </c>
      <c r="L24" s="114" t="s">
        <v>232</v>
      </c>
      <c r="M24" s="114" t="s">
        <v>232</v>
      </c>
      <c r="N24" s="114" t="s">
        <v>233</v>
      </c>
      <c r="O24" s="114" t="s">
        <v>233</v>
      </c>
      <c r="P24" s="114" t="s">
        <v>232</v>
      </c>
      <c r="Q24" s="114" t="s">
        <v>233</v>
      </c>
      <c r="R24" s="114" t="s">
        <v>233</v>
      </c>
      <c r="S24" s="114" t="s">
        <v>232</v>
      </c>
      <c r="T24" s="114" t="s">
        <v>232</v>
      </c>
      <c r="U24" s="114" t="s">
        <v>232</v>
      </c>
      <c r="V24" s="114" t="s">
        <v>232</v>
      </c>
      <c r="W24" s="114" t="s">
        <v>232</v>
      </c>
      <c r="X24" s="114" t="s">
        <v>232</v>
      </c>
      <c r="Y24" s="114" t="s">
        <v>232</v>
      </c>
      <c r="Z24" s="114" t="s">
        <v>232</v>
      </c>
      <c r="AA24" s="114" t="s">
        <v>233</v>
      </c>
      <c r="AB24" s="114" t="s">
        <v>233</v>
      </c>
      <c r="AC24" s="114" t="s">
        <v>233</v>
      </c>
      <c r="AD24" s="114" t="s">
        <v>232</v>
      </c>
      <c r="AE24" s="114" t="s">
        <v>232</v>
      </c>
      <c r="AF24" s="114" t="s">
        <v>232</v>
      </c>
      <c r="AG24" s="114" t="s">
        <v>232</v>
      </c>
      <c r="AH24" s="114" t="s">
        <v>232</v>
      </c>
      <c r="AI24" s="114" t="s">
        <v>232</v>
      </c>
      <c r="AJ24" s="114" t="s">
        <v>233</v>
      </c>
      <c r="AK24" s="114" t="s">
        <v>233</v>
      </c>
      <c r="AL24" s="114" t="s">
        <v>233</v>
      </c>
      <c r="AM24" s="114" t="s">
        <v>233</v>
      </c>
      <c r="AN24" s="114" t="s">
        <v>233</v>
      </c>
      <c r="AO24" s="114" t="s">
        <v>233</v>
      </c>
      <c r="AP24" s="114" t="s">
        <v>232</v>
      </c>
      <c r="AQ24" s="114" t="s">
        <v>232</v>
      </c>
      <c r="AR24" s="114" t="s">
        <v>232</v>
      </c>
      <c r="AS24" s="114" t="s">
        <v>232</v>
      </c>
      <c r="AT24" s="114" t="s">
        <v>232</v>
      </c>
      <c r="AU24" s="114"/>
      <c r="AV24" s="114"/>
      <c r="AW24" s="114"/>
      <c r="AX24" s="114"/>
      <c r="AY24" s="114"/>
    </row>
    <row r="25" spans="2:51" ht="15.75">
      <c r="B25" s="123">
        <v>16</v>
      </c>
      <c r="C25" s="124" t="s">
        <v>165</v>
      </c>
      <c r="D25" s="114" t="s">
        <v>233</v>
      </c>
      <c r="E25" s="114" t="s">
        <v>233</v>
      </c>
      <c r="F25" s="114" t="s">
        <v>233</v>
      </c>
      <c r="G25" s="114" t="s">
        <v>233</v>
      </c>
      <c r="H25" s="114" t="s">
        <v>233</v>
      </c>
      <c r="I25" s="114" t="s">
        <v>233</v>
      </c>
      <c r="J25" s="114" t="s">
        <v>233</v>
      </c>
      <c r="K25" s="114" t="s">
        <v>233</v>
      </c>
      <c r="L25" s="114" t="s">
        <v>233</v>
      </c>
      <c r="M25" s="114" t="s">
        <v>232</v>
      </c>
      <c r="N25" s="114" t="s">
        <v>233</v>
      </c>
      <c r="O25" s="114" t="s">
        <v>233</v>
      </c>
      <c r="P25" s="114" t="s">
        <v>233</v>
      </c>
      <c r="Q25" s="114" t="s">
        <v>233</v>
      </c>
      <c r="R25" s="114" t="s">
        <v>233</v>
      </c>
      <c r="S25" s="114" t="s">
        <v>233</v>
      </c>
      <c r="T25" s="114" t="s">
        <v>233</v>
      </c>
      <c r="U25" s="114" t="s">
        <v>233</v>
      </c>
      <c r="V25" s="114" t="s">
        <v>233</v>
      </c>
      <c r="W25" s="114" t="s">
        <v>233</v>
      </c>
      <c r="X25" s="114" t="s">
        <v>233</v>
      </c>
      <c r="Y25" s="114" t="s">
        <v>233</v>
      </c>
      <c r="Z25" s="114" t="s">
        <v>233</v>
      </c>
      <c r="AA25" s="114" t="s">
        <v>233</v>
      </c>
      <c r="AB25" s="114" t="s">
        <v>233</v>
      </c>
      <c r="AC25" s="114" t="s">
        <v>233</v>
      </c>
      <c r="AD25" s="114" t="s">
        <v>233</v>
      </c>
      <c r="AE25" s="114" t="s">
        <v>233</v>
      </c>
      <c r="AF25" s="114" t="s">
        <v>233</v>
      </c>
      <c r="AG25" s="114" t="s">
        <v>233</v>
      </c>
      <c r="AH25" s="114" t="s">
        <v>233</v>
      </c>
      <c r="AI25" s="114" t="s">
        <v>233</v>
      </c>
      <c r="AJ25" s="114" t="s">
        <v>233</v>
      </c>
      <c r="AK25" s="114" t="s">
        <v>233</v>
      </c>
      <c r="AL25" s="114" t="s">
        <v>233</v>
      </c>
      <c r="AM25" s="114" t="s">
        <v>233</v>
      </c>
      <c r="AN25" s="114" t="s">
        <v>233</v>
      </c>
      <c r="AO25" s="114" t="s">
        <v>233</v>
      </c>
      <c r="AP25" s="114" t="s">
        <v>233</v>
      </c>
      <c r="AQ25" s="114" t="s">
        <v>233</v>
      </c>
      <c r="AR25" s="114" t="s">
        <v>233</v>
      </c>
      <c r="AS25" s="114" t="s">
        <v>233</v>
      </c>
      <c r="AT25" s="114" t="s">
        <v>233</v>
      </c>
      <c r="AU25" s="114"/>
      <c r="AV25" s="114"/>
      <c r="AW25" s="114"/>
      <c r="AX25" s="114"/>
      <c r="AY25" s="114"/>
    </row>
    <row r="26" spans="2:51" ht="15.75">
      <c r="B26" s="123">
        <v>17</v>
      </c>
      <c r="C26" s="124" t="s">
        <v>166</v>
      </c>
      <c r="D26" s="114" t="s">
        <v>233</v>
      </c>
      <c r="E26" s="114" t="s">
        <v>233</v>
      </c>
      <c r="F26" s="114" t="s">
        <v>233</v>
      </c>
      <c r="G26" s="114" t="s">
        <v>232</v>
      </c>
      <c r="H26" s="114" t="s">
        <v>232</v>
      </c>
      <c r="I26" s="114" t="s">
        <v>232</v>
      </c>
      <c r="J26" s="114" t="s">
        <v>232</v>
      </c>
      <c r="K26" s="114" t="s">
        <v>232</v>
      </c>
      <c r="L26" s="114" t="s">
        <v>232</v>
      </c>
      <c r="M26" s="114" t="s">
        <v>232</v>
      </c>
      <c r="N26" s="114" t="s">
        <v>232</v>
      </c>
      <c r="O26" s="114" t="s">
        <v>233</v>
      </c>
      <c r="P26" s="114" t="s">
        <v>233</v>
      </c>
      <c r="Q26" s="114" t="s">
        <v>233</v>
      </c>
      <c r="R26" s="114" t="s">
        <v>233</v>
      </c>
      <c r="S26" s="114" t="s">
        <v>232</v>
      </c>
      <c r="T26" s="114" t="s">
        <v>232</v>
      </c>
      <c r="U26" s="114" t="s">
        <v>232</v>
      </c>
      <c r="V26" s="114" t="s">
        <v>232</v>
      </c>
      <c r="W26" s="114" t="s">
        <v>232</v>
      </c>
      <c r="X26" s="114" t="s">
        <v>232</v>
      </c>
      <c r="Y26" s="114" t="s">
        <v>232</v>
      </c>
      <c r="Z26" s="114" t="s">
        <v>233</v>
      </c>
      <c r="AA26" s="114" t="s">
        <v>233</v>
      </c>
      <c r="AB26" s="114" t="s">
        <v>233</v>
      </c>
      <c r="AC26" s="114" t="s">
        <v>233</v>
      </c>
      <c r="AD26" s="114" t="s">
        <v>232</v>
      </c>
      <c r="AE26" s="114" t="s">
        <v>233</v>
      </c>
      <c r="AF26" s="114" t="s">
        <v>233</v>
      </c>
      <c r="AG26" s="114" t="s">
        <v>233</v>
      </c>
      <c r="AH26" s="114" t="s">
        <v>232</v>
      </c>
      <c r="AI26" s="114" t="s">
        <v>232</v>
      </c>
      <c r="AJ26" s="114" t="s">
        <v>233</v>
      </c>
      <c r="AK26" s="114" t="s">
        <v>233</v>
      </c>
      <c r="AL26" s="114" t="s">
        <v>233</v>
      </c>
      <c r="AM26" s="114" t="s">
        <v>233</v>
      </c>
      <c r="AN26" s="114" t="s">
        <v>233</v>
      </c>
      <c r="AO26" s="114" t="s">
        <v>233</v>
      </c>
      <c r="AP26" s="114" t="s">
        <v>232</v>
      </c>
      <c r="AQ26" s="114" t="s">
        <v>232</v>
      </c>
      <c r="AR26" s="114" t="s">
        <v>232</v>
      </c>
      <c r="AS26" s="114" t="s">
        <v>232</v>
      </c>
      <c r="AT26" s="114" t="s">
        <v>232</v>
      </c>
      <c r="AU26" s="114"/>
      <c r="AV26" s="114"/>
      <c r="AW26" s="114"/>
      <c r="AX26" s="114"/>
      <c r="AY26" s="114"/>
    </row>
    <row r="27" spans="2:51" ht="15.75">
      <c r="B27" s="123">
        <v>18</v>
      </c>
      <c r="C27" s="124" t="s">
        <v>167</v>
      </c>
      <c r="D27" s="114" t="s">
        <v>233</v>
      </c>
      <c r="E27" s="114" t="s">
        <v>233</v>
      </c>
      <c r="F27" s="114" t="s">
        <v>233</v>
      </c>
      <c r="G27" s="114" t="s">
        <v>232</v>
      </c>
      <c r="H27" s="114" t="s">
        <v>232</v>
      </c>
      <c r="I27" s="114" t="s">
        <v>232</v>
      </c>
      <c r="J27" s="114" t="s">
        <v>233</v>
      </c>
      <c r="K27" s="114" t="s">
        <v>233</v>
      </c>
      <c r="L27" s="114" t="s">
        <v>233</v>
      </c>
      <c r="M27" s="114" t="s">
        <v>233</v>
      </c>
      <c r="N27" s="114" t="s">
        <v>233</v>
      </c>
      <c r="O27" s="114" t="s">
        <v>233</v>
      </c>
      <c r="P27" s="114" t="s">
        <v>233</v>
      </c>
      <c r="Q27" s="114" t="s">
        <v>233</v>
      </c>
      <c r="R27" s="114" t="s">
        <v>233</v>
      </c>
      <c r="S27" s="114" t="s">
        <v>232</v>
      </c>
      <c r="T27" s="114" t="s">
        <v>233</v>
      </c>
      <c r="U27" s="114" t="s">
        <v>232</v>
      </c>
      <c r="V27" s="114" t="s">
        <v>232</v>
      </c>
      <c r="W27" s="114" t="s">
        <v>233</v>
      </c>
      <c r="X27" s="114" t="s">
        <v>232</v>
      </c>
      <c r="Y27" s="114" t="s">
        <v>232</v>
      </c>
      <c r="Z27" s="114" t="s">
        <v>233</v>
      </c>
      <c r="AA27" s="114" t="s">
        <v>233</v>
      </c>
      <c r="AB27" s="114" t="s">
        <v>233</v>
      </c>
      <c r="AC27" s="114" t="s">
        <v>233</v>
      </c>
      <c r="AD27" s="114" t="s">
        <v>232</v>
      </c>
      <c r="AE27" s="114" t="s">
        <v>233</v>
      </c>
      <c r="AF27" s="114" t="s">
        <v>233</v>
      </c>
      <c r="AG27" s="114" t="s">
        <v>233</v>
      </c>
      <c r="AH27" s="114" t="s">
        <v>233</v>
      </c>
      <c r="AI27" s="114" t="s">
        <v>233</v>
      </c>
      <c r="AJ27" s="114" t="s">
        <v>233</v>
      </c>
      <c r="AK27" s="114" t="s">
        <v>233</v>
      </c>
      <c r="AL27" s="114" t="s">
        <v>233</v>
      </c>
      <c r="AM27" s="114" t="s">
        <v>233</v>
      </c>
      <c r="AN27" s="114" t="s">
        <v>233</v>
      </c>
      <c r="AO27" s="114" t="s">
        <v>233</v>
      </c>
      <c r="AP27" s="114" t="s">
        <v>232</v>
      </c>
      <c r="AQ27" s="114" t="s">
        <v>232</v>
      </c>
      <c r="AR27" s="114" t="s">
        <v>233</v>
      </c>
      <c r="AS27" s="114" t="s">
        <v>233</v>
      </c>
      <c r="AT27" s="114" t="s">
        <v>233</v>
      </c>
      <c r="AU27" s="114"/>
      <c r="AV27" s="114"/>
      <c r="AW27" s="114"/>
      <c r="AX27" s="114"/>
      <c r="AY27" s="114"/>
    </row>
    <row r="28" spans="2:51" ht="16.5" thickBot="1">
      <c r="B28" s="125">
        <v>19</v>
      </c>
      <c r="C28" s="126" t="s">
        <v>168</v>
      </c>
      <c r="D28" s="115" t="s">
        <v>233</v>
      </c>
      <c r="E28" s="115" t="s">
        <v>233</v>
      </c>
      <c r="F28" s="115" t="s">
        <v>233</v>
      </c>
      <c r="G28" s="115" t="s">
        <v>233</v>
      </c>
      <c r="H28" s="115" t="s">
        <v>233</v>
      </c>
      <c r="I28" s="115" t="s">
        <v>233</v>
      </c>
      <c r="J28" s="115" t="s">
        <v>233</v>
      </c>
      <c r="K28" s="115" t="s">
        <v>233</v>
      </c>
      <c r="L28" s="115" t="s">
        <v>233</v>
      </c>
      <c r="M28" s="115" t="s">
        <v>233</v>
      </c>
      <c r="N28" s="115" t="s">
        <v>233</v>
      </c>
      <c r="O28" s="115" t="s">
        <v>233</v>
      </c>
      <c r="P28" s="115" t="s">
        <v>233</v>
      </c>
      <c r="Q28" s="115" t="s">
        <v>233</v>
      </c>
      <c r="R28" s="115" t="s">
        <v>233</v>
      </c>
      <c r="S28" s="115" t="s">
        <v>233</v>
      </c>
      <c r="T28" s="115" t="s">
        <v>233</v>
      </c>
      <c r="U28" s="115" t="s">
        <v>233</v>
      </c>
      <c r="V28" s="115" t="s">
        <v>233</v>
      </c>
      <c r="W28" s="115" t="s">
        <v>233</v>
      </c>
      <c r="X28" s="115" t="s">
        <v>233</v>
      </c>
      <c r="Y28" s="115" t="s">
        <v>233</v>
      </c>
      <c r="Z28" s="115" t="s">
        <v>233</v>
      </c>
      <c r="AA28" s="115" t="s">
        <v>233</v>
      </c>
      <c r="AB28" s="115" t="s">
        <v>233</v>
      </c>
      <c r="AC28" s="115" t="s">
        <v>233</v>
      </c>
      <c r="AD28" s="115" t="s">
        <v>233</v>
      </c>
      <c r="AE28" s="115" t="s">
        <v>233</v>
      </c>
      <c r="AF28" s="115" t="s">
        <v>233</v>
      </c>
      <c r="AG28" s="115" t="s">
        <v>233</v>
      </c>
      <c r="AH28" s="115" t="s">
        <v>233</v>
      </c>
      <c r="AI28" s="115" t="s">
        <v>233</v>
      </c>
      <c r="AJ28" s="115" t="s">
        <v>233</v>
      </c>
      <c r="AK28" s="115" t="s">
        <v>233</v>
      </c>
      <c r="AL28" s="115" t="s">
        <v>233</v>
      </c>
      <c r="AM28" s="115" t="s">
        <v>233</v>
      </c>
      <c r="AN28" s="115" t="s">
        <v>233</v>
      </c>
      <c r="AO28" s="115" t="s">
        <v>233</v>
      </c>
      <c r="AP28" s="115" t="s">
        <v>233</v>
      </c>
      <c r="AQ28" s="115" t="s">
        <v>233</v>
      </c>
      <c r="AR28" s="115" t="s">
        <v>233</v>
      </c>
      <c r="AS28" s="115" t="s">
        <v>233</v>
      </c>
      <c r="AT28" s="115" t="s">
        <v>233</v>
      </c>
      <c r="AU28" s="115"/>
      <c r="AV28" s="115"/>
      <c r="AW28" s="115"/>
      <c r="AX28" s="115"/>
      <c r="AY28" s="115"/>
    </row>
    <row r="29" spans="2:51" ht="21" thickBot="1">
      <c r="B29" s="267" t="s">
        <v>235</v>
      </c>
      <c r="C29" s="268"/>
      <c r="D29" s="127" t="str">
        <f>IF(D$30=0,"",IF(D$25="SI","Catastrófico",IF(D$30&lt;6,"Moderado",IF(D$30&lt;12,"Mayor",IF(D$30&lt;20,"Catastrófico","")))))</f>
        <v>Mayor</v>
      </c>
      <c r="E29" s="127" t="str">
        <f aca="true" t="shared" si="0" ref="E29:AY29">IF(E$30=0,"",IF(E$25="SI","Catastrófico",IF(E$30&lt;6,"Moderado",IF(E$30&lt;12,"Mayor",IF(E$30&lt;20,"Catastrófico","")))))</f>
        <v>Mayor</v>
      </c>
      <c r="F29" s="127" t="str">
        <f t="shared" si="0"/>
        <v>Mayor</v>
      </c>
      <c r="G29" s="127" t="str">
        <f t="shared" si="0"/>
        <v>Mayor</v>
      </c>
      <c r="H29" s="127" t="str">
        <f t="shared" si="0"/>
        <v>Mayor</v>
      </c>
      <c r="I29" s="127" t="str">
        <f t="shared" si="0"/>
        <v>Mayor</v>
      </c>
      <c r="J29" s="127" t="str">
        <f t="shared" si="0"/>
        <v>Mayor</v>
      </c>
      <c r="K29" s="127" t="str">
        <f t="shared" si="0"/>
        <v>Mayor</v>
      </c>
      <c r="L29" s="127" t="str">
        <f t="shared" si="0"/>
        <v>Mayor</v>
      </c>
      <c r="M29" s="127" t="str">
        <f t="shared" si="0"/>
        <v>Catastrófico</v>
      </c>
      <c r="N29" s="127" t="str">
        <f t="shared" si="0"/>
        <v>Mayor</v>
      </c>
      <c r="O29" s="127" t="str">
        <f t="shared" si="0"/>
        <v>Mayor</v>
      </c>
      <c r="P29" s="127" t="str">
        <f t="shared" si="0"/>
        <v>Mayor</v>
      </c>
      <c r="Q29" s="127" t="str">
        <f t="shared" si="0"/>
        <v>Mayor</v>
      </c>
      <c r="R29" s="127" t="str">
        <f t="shared" si="0"/>
        <v>Mayor</v>
      </c>
      <c r="S29" s="127" t="str">
        <f t="shared" si="0"/>
        <v>Catastrófico</v>
      </c>
      <c r="T29" s="127" t="str">
        <f t="shared" si="0"/>
        <v>Mayor</v>
      </c>
      <c r="U29" s="127" t="str">
        <f t="shared" si="0"/>
        <v>Catastrófico</v>
      </c>
      <c r="V29" s="127" t="str">
        <f t="shared" si="0"/>
        <v>Catastrófico</v>
      </c>
      <c r="W29" s="127" t="str">
        <f t="shared" si="0"/>
        <v>Mayor</v>
      </c>
      <c r="X29" s="127" t="str">
        <f t="shared" si="0"/>
        <v>Catastrófico</v>
      </c>
      <c r="Y29" s="127" t="str">
        <f t="shared" si="0"/>
        <v>Catastrófico</v>
      </c>
      <c r="Z29" s="127" t="str">
        <f t="shared" si="0"/>
        <v>Mayor</v>
      </c>
      <c r="AA29" s="127" t="str">
        <f t="shared" si="0"/>
        <v>Mayor</v>
      </c>
      <c r="AB29" s="127" t="str">
        <f t="shared" si="0"/>
        <v>Mayor</v>
      </c>
      <c r="AC29" s="127" t="str">
        <f t="shared" si="0"/>
        <v>Mayor</v>
      </c>
      <c r="AD29" s="127" t="str">
        <f t="shared" si="0"/>
        <v>Catastrófico</v>
      </c>
      <c r="AE29" s="127" t="str">
        <f t="shared" si="0"/>
        <v>Mayor</v>
      </c>
      <c r="AF29" s="127" t="str">
        <f t="shared" si="0"/>
        <v>Mayor</v>
      </c>
      <c r="AG29" s="127" t="str">
        <f t="shared" si="0"/>
        <v>Mayor</v>
      </c>
      <c r="AH29" s="127" t="str">
        <f t="shared" si="0"/>
        <v>Catastrófico</v>
      </c>
      <c r="AI29" s="127" t="str">
        <f t="shared" si="0"/>
        <v>Catastrófico</v>
      </c>
      <c r="AJ29" s="127" t="str">
        <f t="shared" si="0"/>
        <v>Mayor</v>
      </c>
      <c r="AK29" s="127" t="str">
        <f t="shared" si="0"/>
        <v>Mayor</v>
      </c>
      <c r="AL29" s="127" t="str">
        <f t="shared" si="0"/>
        <v>Mayor</v>
      </c>
      <c r="AM29" s="127" t="str">
        <f t="shared" si="0"/>
        <v>Mayor</v>
      </c>
      <c r="AN29" s="127" t="str">
        <f t="shared" si="0"/>
        <v>Mayor</v>
      </c>
      <c r="AO29" s="127" t="str">
        <f t="shared" si="0"/>
        <v>Mayor</v>
      </c>
      <c r="AP29" s="127" t="str">
        <f t="shared" si="0"/>
        <v>Mayor</v>
      </c>
      <c r="AQ29" s="127" t="str">
        <f t="shared" si="0"/>
        <v>Catastrófico</v>
      </c>
      <c r="AR29" s="127" t="str">
        <f t="shared" si="0"/>
        <v>Moderado</v>
      </c>
      <c r="AS29" s="127" t="str">
        <f t="shared" si="0"/>
        <v>Mayor</v>
      </c>
      <c r="AT29" s="127" t="str">
        <f t="shared" si="0"/>
        <v>Mayor</v>
      </c>
      <c r="AU29" s="127">
        <f t="shared" si="0"/>
      </c>
      <c r="AV29" s="127">
        <f t="shared" si="0"/>
      </c>
      <c r="AW29" s="127">
        <f t="shared" si="0"/>
      </c>
      <c r="AX29" s="127">
        <f t="shared" si="0"/>
      </c>
      <c r="AY29" s="127">
        <f t="shared" si="0"/>
      </c>
    </row>
    <row r="30" spans="2:51" ht="15.75">
      <c r="B30" s="263" t="s">
        <v>169</v>
      </c>
      <c r="C30" s="264"/>
      <c r="D30" s="128">
        <f aca="true" t="shared" si="1" ref="D30:N30">COUNTIF(D10:D28,"SI")</f>
        <v>8</v>
      </c>
      <c r="E30" s="128">
        <f t="shared" si="1"/>
        <v>11</v>
      </c>
      <c r="F30" s="128">
        <f t="shared" si="1"/>
        <v>10</v>
      </c>
      <c r="G30" s="128">
        <f t="shared" si="1"/>
        <v>8</v>
      </c>
      <c r="H30" s="128">
        <f t="shared" si="1"/>
        <v>10</v>
      </c>
      <c r="I30" s="128">
        <f t="shared" si="1"/>
        <v>11</v>
      </c>
      <c r="J30" s="128">
        <f t="shared" si="1"/>
        <v>8</v>
      </c>
      <c r="K30" s="128">
        <f t="shared" si="1"/>
        <v>10</v>
      </c>
      <c r="L30" s="128">
        <f t="shared" si="1"/>
        <v>11</v>
      </c>
      <c r="M30" s="128">
        <f t="shared" si="1"/>
        <v>16</v>
      </c>
      <c r="N30" s="128">
        <f t="shared" si="1"/>
        <v>9</v>
      </c>
      <c r="O30" s="128">
        <f aca="true" t="shared" si="2" ref="O30:AY30">COUNTIF(O10:O28,"SI")</f>
        <v>10</v>
      </c>
      <c r="P30" s="128">
        <f t="shared" si="2"/>
        <v>11</v>
      </c>
      <c r="Q30" s="128">
        <f t="shared" si="2"/>
        <v>10</v>
      </c>
      <c r="R30" s="128">
        <f t="shared" si="2"/>
        <v>10</v>
      </c>
      <c r="S30" s="128">
        <f t="shared" si="2"/>
        <v>17</v>
      </c>
      <c r="T30" s="128">
        <f t="shared" si="2"/>
        <v>9</v>
      </c>
      <c r="U30" s="128">
        <f t="shared" si="2"/>
        <v>15</v>
      </c>
      <c r="V30" s="128">
        <f t="shared" si="2"/>
        <v>15</v>
      </c>
      <c r="W30" s="128">
        <f t="shared" si="2"/>
        <v>11</v>
      </c>
      <c r="X30" s="128">
        <f t="shared" si="2"/>
        <v>16</v>
      </c>
      <c r="Y30" s="128">
        <f t="shared" si="2"/>
        <v>16</v>
      </c>
      <c r="Z30" s="128">
        <f t="shared" si="2"/>
        <v>11</v>
      </c>
      <c r="AA30" s="128">
        <f t="shared" si="2"/>
        <v>8</v>
      </c>
      <c r="AB30" s="128">
        <f t="shared" si="2"/>
        <v>8</v>
      </c>
      <c r="AC30" s="128">
        <f t="shared" si="2"/>
        <v>8</v>
      </c>
      <c r="AD30" s="128">
        <f t="shared" si="2"/>
        <v>16</v>
      </c>
      <c r="AE30" s="128">
        <f t="shared" si="2"/>
        <v>8</v>
      </c>
      <c r="AF30" s="128">
        <f t="shared" si="2"/>
        <v>11</v>
      </c>
      <c r="AG30" s="128">
        <f t="shared" si="2"/>
        <v>11</v>
      </c>
      <c r="AH30" s="128">
        <f t="shared" si="2"/>
        <v>14</v>
      </c>
      <c r="AI30" s="128">
        <f t="shared" si="2"/>
        <v>12</v>
      </c>
      <c r="AJ30" s="128">
        <f t="shared" si="2"/>
        <v>10</v>
      </c>
      <c r="AK30" s="128">
        <f t="shared" si="2"/>
        <v>10</v>
      </c>
      <c r="AL30" s="128">
        <f t="shared" si="2"/>
        <v>9</v>
      </c>
      <c r="AM30" s="128">
        <f t="shared" si="2"/>
        <v>9</v>
      </c>
      <c r="AN30" s="128">
        <f t="shared" si="2"/>
        <v>10</v>
      </c>
      <c r="AO30" s="128">
        <f t="shared" si="2"/>
        <v>10</v>
      </c>
      <c r="AP30" s="128">
        <f t="shared" si="2"/>
        <v>11</v>
      </c>
      <c r="AQ30" s="128">
        <f t="shared" si="2"/>
        <v>17</v>
      </c>
      <c r="AR30" s="128">
        <f t="shared" si="2"/>
        <v>5</v>
      </c>
      <c r="AS30" s="128">
        <f t="shared" si="2"/>
        <v>10</v>
      </c>
      <c r="AT30" s="128">
        <f t="shared" si="2"/>
        <v>7</v>
      </c>
      <c r="AU30" s="128">
        <f t="shared" si="2"/>
        <v>0</v>
      </c>
      <c r="AV30" s="128">
        <f t="shared" si="2"/>
        <v>0</v>
      </c>
      <c r="AW30" s="128">
        <f t="shared" si="2"/>
        <v>0</v>
      </c>
      <c r="AX30" s="128">
        <f t="shared" si="2"/>
        <v>0</v>
      </c>
      <c r="AY30" s="128">
        <f t="shared" si="2"/>
        <v>0</v>
      </c>
    </row>
    <row r="31" spans="2:51" ht="16.5" thickBot="1">
      <c r="B31" s="265" t="s">
        <v>170</v>
      </c>
      <c r="C31" s="266"/>
      <c r="D31" s="129">
        <f aca="true" t="shared" si="3" ref="D31:N31">COUNTIF(D11:D30,"NO")</f>
        <v>11</v>
      </c>
      <c r="E31" s="129">
        <f t="shared" si="3"/>
        <v>8</v>
      </c>
      <c r="F31" s="129">
        <f t="shared" si="3"/>
        <v>9</v>
      </c>
      <c r="G31" s="129">
        <f t="shared" si="3"/>
        <v>11</v>
      </c>
      <c r="H31" s="129">
        <f t="shared" si="3"/>
        <v>9</v>
      </c>
      <c r="I31" s="129">
        <f t="shared" si="3"/>
        <v>8</v>
      </c>
      <c r="J31" s="129">
        <f t="shared" si="3"/>
        <v>11</v>
      </c>
      <c r="K31" s="129">
        <f t="shared" si="3"/>
        <v>9</v>
      </c>
      <c r="L31" s="129">
        <f t="shared" si="3"/>
        <v>8</v>
      </c>
      <c r="M31" s="129">
        <f t="shared" si="3"/>
        <v>3</v>
      </c>
      <c r="N31" s="129">
        <f t="shared" si="3"/>
        <v>10</v>
      </c>
      <c r="O31" s="129">
        <f aca="true" t="shared" si="4" ref="O31:AY31">COUNTIF(O11:O30,"NO")</f>
        <v>9</v>
      </c>
      <c r="P31" s="129">
        <f t="shared" si="4"/>
        <v>8</v>
      </c>
      <c r="Q31" s="129">
        <f t="shared" si="4"/>
        <v>9</v>
      </c>
      <c r="R31" s="129">
        <f t="shared" si="4"/>
        <v>9</v>
      </c>
      <c r="S31" s="129">
        <f t="shared" si="4"/>
        <v>2</v>
      </c>
      <c r="T31" s="129">
        <f t="shared" si="4"/>
        <v>10</v>
      </c>
      <c r="U31" s="129">
        <f t="shared" si="4"/>
        <v>4</v>
      </c>
      <c r="V31" s="129">
        <f t="shared" si="4"/>
        <v>4</v>
      </c>
      <c r="W31" s="129">
        <f t="shared" si="4"/>
        <v>8</v>
      </c>
      <c r="X31" s="129">
        <f t="shared" si="4"/>
        <v>3</v>
      </c>
      <c r="Y31" s="129">
        <f t="shared" si="4"/>
        <v>3</v>
      </c>
      <c r="Z31" s="129">
        <f t="shared" si="4"/>
        <v>8</v>
      </c>
      <c r="AA31" s="129">
        <f t="shared" si="4"/>
        <v>11</v>
      </c>
      <c r="AB31" s="129">
        <f t="shared" si="4"/>
        <v>11</v>
      </c>
      <c r="AC31" s="129">
        <f t="shared" si="4"/>
        <v>11</v>
      </c>
      <c r="AD31" s="129">
        <f t="shared" si="4"/>
        <v>3</v>
      </c>
      <c r="AE31" s="129">
        <f t="shared" si="4"/>
        <v>11</v>
      </c>
      <c r="AF31" s="129">
        <f t="shared" si="4"/>
        <v>8</v>
      </c>
      <c r="AG31" s="129">
        <f t="shared" si="4"/>
        <v>8</v>
      </c>
      <c r="AH31" s="129">
        <f t="shared" si="4"/>
        <v>5</v>
      </c>
      <c r="AI31" s="129">
        <f t="shared" si="4"/>
        <v>7</v>
      </c>
      <c r="AJ31" s="129">
        <f t="shared" si="4"/>
        <v>9</v>
      </c>
      <c r="AK31" s="129">
        <f t="shared" si="4"/>
        <v>9</v>
      </c>
      <c r="AL31" s="129">
        <f t="shared" si="4"/>
        <v>10</v>
      </c>
      <c r="AM31" s="129">
        <f t="shared" si="4"/>
        <v>10</v>
      </c>
      <c r="AN31" s="129">
        <f t="shared" si="4"/>
        <v>9</v>
      </c>
      <c r="AO31" s="129">
        <f t="shared" si="4"/>
        <v>9</v>
      </c>
      <c r="AP31" s="129">
        <f t="shared" si="4"/>
        <v>7</v>
      </c>
      <c r="AQ31" s="129">
        <f t="shared" si="4"/>
        <v>2</v>
      </c>
      <c r="AR31" s="129">
        <f t="shared" si="4"/>
        <v>13</v>
      </c>
      <c r="AS31" s="129">
        <f t="shared" si="4"/>
        <v>9</v>
      </c>
      <c r="AT31" s="129">
        <f t="shared" si="4"/>
        <v>11</v>
      </c>
      <c r="AU31" s="129">
        <f t="shared" si="4"/>
        <v>0</v>
      </c>
      <c r="AV31" s="129">
        <f t="shared" si="4"/>
        <v>0</v>
      </c>
      <c r="AW31" s="129">
        <f t="shared" si="4"/>
        <v>0</v>
      </c>
      <c r="AX31" s="129">
        <f t="shared" si="4"/>
        <v>0</v>
      </c>
      <c r="AY31" s="129">
        <f t="shared" si="4"/>
        <v>0</v>
      </c>
    </row>
    <row r="32" ht="15.75" thickBot="1"/>
    <row r="33" spans="2:5" ht="91.5" customHeight="1" thickBot="1">
      <c r="B33" s="251" t="s">
        <v>171</v>
      </c>
      <c r="C33" s="252"/>
      <c r="D33" s="252"/>
      <c r="E33" s="253"/>
    </row>
    <row r="34" spans="2:5" ht="15">
      <c r="B34" s="130" t="s">
        <v>172</v>
      </c>
      <c r="C34" s="254" t="s">
        <v>173</v>
      </c>
      <c r="D34" s="255"/>
      <c r="E34" s="256"/>
    </row>
    <row r="35" spans="2:5" ht="15">
      <c r="B35" s="131" t="s">
        <v>174</v>
      </c>
      <c r="C35" s="257" t="s">
        <v>175</v>
      </c>
      <c r="D35" s="258"/>
      <c r="E35" s="259"/>
    </row>
    <row r="36" spans="2:5" ht="22.5">
      <c r="B36" s="131" t="s">
        <v>176</v>
      </c>
      <c r="C36" s="257" t="s">
        <v>177</v>
      </c>
      <c r="D36" s="258"/>
      <c r="E36" s="259"/>
    </row>
    <row r="38" spans="1:13" ht="15">
      <c r="A38" s="150" t="s">
        <v>223</v>
      </c>
      <c r="B38" s="150"/>
      <c r="C38" s="150"/>
      <c r="D38" s="150"/>
      <c r="E38" s="150"/>
      <c r="F38" s="150" t="s">
        <v>213</v>
      </c>
      <c r="G38" s="150"/>
      <c r="H38" s="96"/>
      <c r="I38" s="96"/>
      <c r="J38" s="150" t="s">
        <v>214</v>
      </c>
      <c r="K38" s="150"/>
      <c r="L38" s="150" t="s">
        <v>215</v>
      </c>
      <c r="M38" s="150"/>
    </row>
    <row r="39" spans="1:13" ht="15">
      <c r="A39" s="97" t="s">
        <v>216</v>
      </c>
      <c r="B39" s="96" t="s">
        <v>217</v>
      </c>
      <c r="C39" s="150" t="s">
        <v>218</v>
      </c>
      <c r="D39" s="150"/>
      <c r="E39" s="150"/>
      <c r="F39" s="240" t="s">
        <v>219</v>
      </c>
      <c r="G39" s="240"/>
      <c r="H39" s="98"/>
      <c r="I39" s="98"/>
      <c r="J39" s="240" t="s">
        <v>219</v>
      </c>
      <c r="K39" s="240"/>
      <c r="L39" s="240" t="s">
        <v>219</v>
      </c>
      <c r="M39" s="240"/>
    </row>
    <row r="40" spans="1:13" ht="15">
      <c r="A40" s="151"/>
      <c r="B40" s="241"/>
      <c r="C40" s="153"/>
      <c r="D40" s="153"/>
      <c r="E40" s="153"/>
      <c r="F40" s="240" t="s">
        <v>220</v>
      </c>
      <c r="G40" s="240"/>
      <c r="H40" s="98"/>
      <c r="I40" s="98"/>
      <c r="J40" s="240" t="s">
        <v>220</v>
      </c>
      <c r="K40" s="240"/>
      <c r="L40" s="240" t="s">
        <v>221</v>
      </c>
      <c r="M40" s="240"/>
    </row>
    <row r="41" spans="1:13" ht="15">
      <c r="A41" s="151"/>
      <c r="B41" s="242"/>
      <c r="C41" s="153"/>
      <c r="D41" s="153"/>
      <c r="E41" s="153"/>
      <c r="F41" s="240" t="s">
        <v>222</v>
      </c>
      <c r="G41" s="240"/>
      <c r="H41" s="98"/>
      <c r="I41" s="98"/>
      <c r="J41" s="240" t="s">
        <v>222</v>
      </c>
      <c r="K41" s="240"/>
      <c r="L41" s="240" t="s">
        <v>222</v>
      </c>
      <c r="M41" s="24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Y7"/>
    <mergeCell ref="B30:C30"/>
    <mergeCell ref="B31:C31"/>
    <mergeCell ref="B29:C29"/>
    <mergeCell ref="L38:M38"/>
    <mergeCell ref="C6:AY6"/>
    <mergeCell ref="C1:M1"/>
    <mergeCell ref="C2:M2"/>
    <mergeCell ref="D3:F3"/>
    <mergeCell ref="G3:J3"/>
    <mergeCell ref="K3:M3"/>
    <mergeCell ref="N1:AY3"/>
    <mergeCell ref="B33:E33"/>
    <mergeCell ref="C34:E34"/>
    <mergeCell ref="C39:E39"/>
    <mergeCell ref="F39:G39"/>
    <mergeCell ref="J39:K39"/>
    <mergeCell ref="L39:M39"/>
    <mergeCell ref="L40:M40"/>
    <mergeCell ref="A1:B3"/>
    <mergeCell ref="A4:AY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1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70" t="s">
        <v>60</v>
      </c>
      <c r="AC1" s="271"/>
      <c r="AD1" s="271"/>
      <c r="AE1" s="272"/>
      <c r="AG1" s="277" t="s">
        <v>121</v>
      </c>
      <c r="AH1" s="278"/>
      <c r="AI1" s="278"/>
      <c r="AN1" s="279" t="s">
        <v>98</v>
      </c>
      <c r="AO1" s="280"/>
      <c r="AP1" s="280"/>
      <c r="AQ1" s="280"/>
      <c r="AR1" s="281"/>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82" t="s">
        <v>99</v>
      </c>
      <c r="AO2" s="283"/>
      <c r="AP2" s="283"/>
      <c r="AQ2" s="71" t="s">
        <v>100</v>
      </c>
      <c r="AR2" s="53" t="s">
        <v>101</v>
      </c>
      <c r="AX2" t="s">
        <v>232</v>
      </c>
    </row>
    <row r="3" spans="1:50" ht="45">
      <c r="A3" s="3" t="s">
        <v>248</v>
      </c>
      <c r="B3" s="3" t="s">
        <v>21</v>
      </c>
      <c r="C3" t="s">
        <v>270</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84" t="s">
        <v>102</v>
      </c>
      <c r="AO3" s="286" t="s">
        <v>6</v>
      </c>
      <c r="AP3" s="72"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85"/>
      <c r="AO4" s="287"/>
      <c r="AP4" s="73"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85"/>
      <c r="AO5" s="287"/>
      <c r="AP5" s="73"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85"/>
      <c r="AO6" s="287" t="s">
        <v>7</v>
      </c>
      <c r="AP6" s="73" t="s">
        <v>83</v>
      </c>
      <c r="AQ6" s="56" t="s">
        <v>106</v>
      </c>
      <c r="AR6" s="57">
        <v>0.25</v>
      </c>
      <c r="AT6" s="76" t="s">
        <v>6</v>
      </c>
      <c r="AU6" s="77" t="s">
        <v>2</v>
      </c>
    </row>
    <row r="7" spans="1:47" ht="30.75" thickBot="1">
      <c r="A7" s="4"/>
      <c r="B7" s="3" t="s">
        <v>31</v>
      </c>
      <c r="C7" t="s">
        <v>262</v>
      </c>
      <c r="D7" t="s">
        <v>188</v>
      </c>
      <c r="E7" t="s">
        <v>58</v>
      </c>
      <c r="F7" s="38" t="s">
        <v>74</v>
      </c>
      <c r="N7" t="s">
        <v>271</v>
      </c>
      <c r="Q7" s="10" t="s">
        <v>51</v>
      </c>
      <c r="R7" s="8">
        <f>ROW(Q7)</f>
        <v>7</v>
      </c>
      <c r="S7" s="9" t="s">
        <v>29</v>
      </c>
      <c r="T7" s="9" t="s">
        <v>29</v>
      </c>
      <c r="U7" s="9" t="s">
        <v>16</v>
      </c>
      <c r="V7" s="9" t="s">
        <v>23</v>
      </c>
      <c r="W7" s="9" t="s">
        <v>24</v>
      </c>
      <c r="AB7" s="45" t="s">
        <v>67</v>
      </c>
      <c r="AC7" s="33">
        <v>1</v>
      </c>
      <c r="AD7" s="46">
        <v>5000</v>
      </c>
      <c r="AE7" s="47" t="s">
        <v>48</v>
      </c>
      <c r="AN7" s="285"/>
      <c r="AO7" s="287"/>
      <c r="AP7" s="73" t="s">
        <v>84</v>
      </c>
      <c r="AQ7" s="56" t="s">
        <v>107</v>
      </c>
      <c r="AR7" s="57">
        <v>0.15</v>
      </c>
      <c r="AT7" s="63" t="s">
        <v>80</v>
      </c>
      <c r="AU7" s="65" t="s">
        <v>62</v>
      </c>
    </row>
    <row r="8" spans="1:47" ht="32.25" thickBot="1">
      <c r="A8" s="4"/>
      <c r="B8" s="3" t="s">
        <v>32</v>
      </c>
      <c r="C8" s="78" t="s">
        <v>124</v>
      </c>
      <c r="D8" t="s">
        <v>189</v>
      </c>
      <c r="E8" t="s">
        <v>59</v>
      </c>
      <c r="F8" s="24" t="s">
        <v>70</v>
      </c>
      <c r="N8" t="s">
        <v>12</v>
      </c>
      <c r="AN8" s="285" t="s">
        <v>108</v>
      </c>
      <c r="AO8" s="287" t="s">
        <v>8</v>
      </c>
      <c r="AP8" s="73" t="s">
        <v>85</v>
      </c>
      <c r="AQ8" s="56" t="s">
        <v>109</v>
      </c>
      <c r="AR8" s="58" t="s">
        <v>110</v>
      </c>
      <c r="AT8" s="63" t="s">
        <v>81</v>
      </c>
      <c r="AU8" s="65" t="s">
        <v>62</v>
      </c>
    </row>
    <row r="9" spans="1:47" ht="48" thickBot="1">
      <c r="A9" s="4"/>
      <c r="B9" s="3" t="s">
        <v>33</v>
      </c>
      <c r="C9" s="3" t="s">
        <v>263</v>
      </c>
      <c r="D9" t="s">
        <v>190</v>
      </c>
      <c r="E9" s="3"/>
      <c r="F9" s="75" t="s">
        <v>144</v>
      </c>
      <c r="N9" t="s">
        <v>275</v>
      </c>
      <c r="S9" s="273" t="s">
        <v>34</v>
      </c>
      <c r="T9" s="273"/>
      <c r="U9" s="273"/>
      <c r="AB9" s="274" t="s">
        <v>68</v>
      </c>
      <c r="AC9" s="275"/>
      <c r="AD9" s="276"/>
      <c r="AN9" s="285"/>
      <c r="AO9" s="287"/>
      <c r="AP9" s="73" t="s">
        <v>86</v>
      </c>
      <c r="AQ9" s="56" t="s">
        <v>111</v>
      </c>
      <c r="AR9" s="58" t="s">
        <v>110</v>
      </c>
      <c r="AT9" s="64" t="s">
        <v>82</v>
      </c>
      <c r="AU9" s="66" t="s">
        <v>0</v>
      </c>
    </row>
    <row r="10" spans="1:44" ht="15" customHeight="1">
      <c r="A10" s="4"/>
      <c r="B10" s="3" t="s">
        <v>35</v>
      </c>
      <c r="C10" s="78" t="s">
        <v>125</v>
      </c>
      <c r="D10" t="s">
        <v>191</v>
      </c>
      <c r="F10" s="75" t="s">
        <v>179</v>
      </c>
      <c r="N10" t="s">
        <v>272</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85"/>
      <c r="AO10" s="287" t="s">
        <v>9</v>
      </c>
      <c r="AP10" s="73" t="s">
        <v>87</v>
      </c>
      <c r="AQ10" s="56" t="s">
        <v>112</v>
      </c>
      <c r="AR10" s="58" t="s">
        <v>110</v>
      </c>
    </row>
    <row r="11" spans="1:44" ht="45">
      <c r="A11" s="4"/>
      <c r="B11" s="3" t="s">
        <v>36</v>
      </c>
      <c r="C11" s="78" t="s">
        <v>126</v>
      </c>
      <c r="D11" t="s">
        <v>192</v>
      </c>
      <c r="F11" s="75" t="s">
        <v>145</v>
      </c>
      <c r="N11" t="s">
        <v>273</v>
      </c>
      <c r="AA11" s="22"/>
      <c r="AB11" s="26" t="s">
        <v>75</v>
      </c>
      <c r="AC11" s="15" t="s">
        <v>47</v>
      </c>
      <c r="AD11" s="34">
        <v>0.2</v>
      </c>
      <c r="AG11" s="49" t="s">
        <v>75</v>
      </c>
      <c r="AH11" s="48" t="str">
        <f>VLOOKUP(AG11,datos!$AB$10:$AD$21,2,0)</f>
        <v>Leve</v>
      </c>
      <c r="AI11" s="37">
        <f>IF(OR(AG11=datos!$AB$10,AG11=datos!$AB$16),"",VLOOKUP(AG11,datos!$AB$10:$AD$21,3,0))</f>
        <v>0.2</v>
      </c>
      <c r="AN11" s="285"/>
      <c r="AO11" s="287"/>
      <c r="AP11" s="73" t="s">
        <v>88</v>
      </c>
      <c r="AQ11" s="56" t="s">
        <v>113</v>
      </c>
      <c r="AR11" s="58" t="s">
        <v>110</v>
      </c>
    </row>
    <row r="12" spans="1:44" ht="60">
      <c r="A12" s="4"/>
      <c r="B12" s="3" t="s">
        <v>37</v>
      </c>
      <c r="C12" s="78" t="s">
        <v>127</v>
      </c>
      <c r="D12" t="s">
        <v>193</v>
      </c>
      <c r="F12" s="75" t="s">
        <v>180</v>
      </c>
      <c r="N12" t="s">
        <v>274</v>
      </c>
      <c r="AA12" s="22"/>
      <c r="AB12" s="27" t="s">
        <v>76</v>
      </c>
      <c r="AC12" s="16" t="s">
        <v>15</v>
      </c>
      <c r="AD12" s="34">
        <v>0.4</v>
      </c>
      <c r="AH12" s="20" t="s">
        <v>0</v>
      </c>
      <c r="AI12" s="20" t="s">
        <v>120</v>
      </c>
      <c r="AN12" s="285"/>
      <c r="AO12" s="287"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88"/>
      <c r="AO13" s="289"/>
      <c r="AP13" s="74" t="s">
        <v>90</v>
      </c>
      <c r="AQ13" s="59" t="s">
        <v>115</v>
      </c>
      <c r="AR13" s="60" t="s">
        <v>110</v>
      </c>
    </row>
    <row r="14" spans="1:44" ht="15.75" customHeight="1">
      <c r="A14" s="4"/>
      <c r="B14" s="3" t="s">
        <v>39</v>
      </c>
      <c r="C14" s="132" t="s">
        <v>264</v>
      </c>
      <c r="D14" s="4"/>
      <c r="E14" s="67"/>
      <c r="F14" s="70"/>
      <c r="Z14" s="22"/>
      <c r="AB14" s="27" t="s">
        <v>73</v>
      </c>
      <c r="AC14" s="18" t="s">
        <v>17</v>
      </c>
      <c r="AD14" s="34">
        <v>0.8</v>
      </c>
      <c r="AN14" s="269" t="s">
        <v>116</v>
      </c>
      <c r="AO14" s="269"/>
      <c r="AP14" s="269"/>
      <c r="AQ14" s="269"/>
      <c r="AR14" s="269"/>
    </row>
    <row r="15" spans="1:30" ht="15.75" customHeight="1">
      <c r="A15" s="4"/>
      <c r="B15" s="3" t="s">
        <v>40</v>
      </c>
      <c r="C15" s="132" t="s">
        <v>265</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195</v>
      </c>
      <c r="D17" s="4"/>
      <c r="E17" s="67"/>
      <c r="F17" s="70"/>
      <c r="Z17" s="22"/>
      <c r="AB17" s="28" t="s">
        <v>144</v>
      </c>
      <c r="AC17" s="15" t="s">
        <v>47</v>
      </c>
      <c r="AD17" s="34">
        <v>0.2</v>
      </c>
    </row>
    <row r="18" spans="1:30" ht="75">
      <c r="A18" s="4"/>
      <c r="B18" s="3" t="s">
        <v>43</v>
      </c>
      <c r="C18" s="132" t="s">
        <v>266</v>
      </c>
      <c r="D18" s="4"/>
      <c r="E18" s="67"/>
      <c r="F18" s="70"/>
      <c r="Z18" s="22"/>
      <c r="AB18" s="29" t="s">
        <v>179</v>
      </c>
      <c r="AC18" s="16" t="s">
        <v>15</v>
      </c>
      <c r="AD18" s="34">
        <v>0.4</v>
      </c>
    </row>
    <row r="19" spans="1:30" ht="45">
      <c r="A19" s="4"/>
      <c r="B19" s="3" t="s">
        <v>44</v>
      </c>
      <c r="C19" s="132" t="s">
        <v>267</v>
      </c>
      <c r="D19" s="4"/>
      <c r="E19" s="67"/>
      <c r="F19" s="70"/>
      <c r="Z19" s="22"/>
      <c r="AB19" s="29" t="s">
        <v>145</v>
      </c>
      <c r="AC19" s="17" t="s">
        <v>16</v>
      </c>
      <c r="AD19" s="34">
        <v>0.6</v>
      </c>
    </row>
    <row r="20" spans="1:30" ht="60">
      <c r="A20" s="4"/>
      <c r="B20" s="3" t="s">
        <v>45</v>
      </c>
      <c r="C20" s="67" t="s">
        <v>130</v>
      </c>
      <c r="D20" s="4"/>
      <c r="E20" s="67"/>
      <c r="F20" s="70"/>
      <c r="Z20" s="22"/>
      <c r="AB20" s="29" t="s">
        <v>180</v>
      </c>
      <c r="AC20" s="18" t="s">
        <v>17</v>
      </c>
      <c r="AD20" s="34">
        <v>0.8</v>
      </c>
    </row>
    <row r="21" spans="1:30" ht="45.75" thickBot="1">
      <c r="A21" s="4"/>
      <c r="B21" s="3" t="s">
        <v>46</v>
      </c>
      <c r="C21" s="132" t="s">
        <v>268</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9" operator="equal">
      <formula>$Y$6</formula>
    </cfRule>
    <cfRule type="cellIs" priority="31" dxfId="20" operator="equal">
      <formula>$Y$5</formula>
    </cfRule>
    <cfRule type="cellIs" priority="32" dxfId="21" operator="equal">
      <formula>$Y$4</formula>
    </cfRule>
    <cfRule type="cellIs" priority="33" dxfId="22" operator="equal">
      <formula>$Y$3</formula>
    </cfRule>
  </conditionalFormatting>
  <conditionalFormatting sqref="U10">
    <cfRule type="cellIs" priority="26" dxfId="19" operator="equal">
      <formula>$Y$6</formula>
    </cfRule>
    <cfRule type="cellIs" priority="27" dxfId="20" operator="equal">
      <formula>$Y$5</formula>
    </cfRule>
    <cfRule type="cellIs" priority="28" dxfId="21" operator="equal">
      <formula>$Y$4</formula>
    </cfRule>
    <cfRule type="cellIs" priority="29" dxfId="22" operator="equal">
      <formula>$Y$3</formula>
    </cfRule>
  </conditionalFormatting>
  <conditionalFormatting sqref="AH3">
    <cfRule type="cellIs" priority="11" dxfId="22" operator="equal">
      <formula>$AE$7</formula>
    </cfRule>
    <cfRule type="cellIs" priority="12" dxfId="23" operator="equal">
      <formula>$AE$6</formula>
    </cfRule>
    <cfRule type="cellIs" priority="13" dxfId="20" operator="equal">
      <formula>$AE$5</formula>
    </cfRule>
    <cfRule type="cellIs" priority="14" dxfId="24" operator="equal">
      <formula>$AE$4</formula>
    </cfRule>
    <cfRule type="cellIs" priority="15" dxfId="19" operator="equal">
      <formula>$AE$3</formula>
    </cfRule>
  </conditionalFormatting>
  <conditionalFormatting sqref="AH5">
    <cfRule type="cellIs" priority="6" dxfId="22" operator="equal">
      <formula>$AE$7</formula>
    </cfRule>
    <cfRule type="cellIs" priority="7" dxfId="23" operator="equal">
      <formula>$AE$6</formula>
    </cfRule>
    <cfRule type="cellIs" priority="8" dxfId="20" operator="equal">
      <formula>$AE$5</formula>
    </cfRule>
    <cfRule type="cellIs" priority="9" dxfId="24" operator="equal">
      <formula>$AE$4</formula>
    </cfRule>
    <cfRule type="cellIs" priority="10" dxfId="19" operator="equal">
      <formula>$AE$3</formula>
    </cfRule>
  </conditionalFormatting>
  <conditionalFormatting sqref="AH11">
    <cfRule type="cellIs" priority="107" dxfId="19" operator="equal">
      <formula>$AC$11</formula>
    </cfRule>
    <cfRule type="cellIs" priority="108" dxfId="24" operator="equal">
      <formula>$AC$12</formula>
    </cfRule>
    <cfRule type="cellIs" priority="109" dxfId="20" operator="equal">
      <formula>$AC$13</formula>
    </cfRule>
    <cfRule type="cellIs" priority="110" dxfId="23" operator="equal">
      <formula>$AC$14</formula>
    </cfRule>
    <cfRule type="cellIs" priority="111" dxfId="25" operator="equal">
      <formula>$AC$15</formula>
    </cfRule>
  </conditionalFormatting>
  <conditionalFormatting sqref="AH13">
    <cfRule type="cellIs" priority="112" dxfId="22" operator="equal">
      <formula>$AC$15</formula>
    </cfRule>
    <cfRule type="cellIs" priority="113" dxfId="23" operator="equal">
      <formula>$AC$14</formula>
    </cfRule>
    <cfRule type="cellIs" priority="114" dxfId="20" operator="equal">
      <formula>$AC$13</formula>
    </cfRule>
    <cfRule type="cellIs" priority="115" dxfId="24" operator="equal">
      <formula>$AC$12</formula>
    </cfRule>
    <cfRule type="cellIs" priority="116" dxfId="1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3"/>
    <tablePart r:id="rId1"/>
    <tablePart r:id="rId6"/>
    <tablePart r:id="rId2"/>
    <tablePart r:id="rId5"/>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2023-01-30T22:56:57Z</dcterms:modified>
  <cp:category/>
  <cp:version/>
  <cp:contentType/>
  <cp:contentStatus/>
</cp:coreProperties>
</file>